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1201BF4C-7474-4A5A-8BC8-326E2F4400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ide Vesi Järva val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2" l="1"/>
  <c r="B29" i="2" l="1"/>
  <c r="D46" i="2"/>
  <c r="E46" i="2" s="1"/>
  <c r="F46" i="2" s="1"/>
  <c r="G46" i="2" s="1"/>
  <c r="H46" i="2" s="1"/>
  <c r="I46" i="2" s="1"/>
  <c r="J46" i="2" s="1"/>
  <c r="K46" i="2" s="1"/>
  <c r="L46" i="2" s="1"/>
  <c r="M46" i="2" s="1"/>
  <c r="N46" i="2" s="1"/>
  <c r="O46" i="2" s="1"/>
  <c r="P46" i="2" s="1"/>
  <c r="D44" i="2"/>
  <c r="E44" i="2" s="1"/>
  <c r="F44" i="2" s="1"/>
  <c r="G44" i="2" s="1"/>
  <c r="H44" i="2" s="1"/>
  <c r="I44" i="2" s="1"/>
  <c r="J44" i="2" s="1"/>
  <c r="K44" i="2" s="1"/>
  <c r="L44" i="2" s="1"/>
  <c r="M44" i="2" s="1"/>
  <c r="N44" i="2" s="1"/>
  <c r="O44" i="2" s="1"/>
  <c r="P44" i="2" s="1"/>
  <c r="D45" i="2"/>
  <c r="E45" i="2" s="1"/>
  <c r="F45" i="2" s="1"/>
  <c r="G45" i="2" s="1"/>
  <c r="H45" i="2" s="1"/>
  <c r="I45" i="2" s="1"/>
  <c r="J45" i="2" s="1"/>
  <c r="K45" i="2" s="1"/>
  <c r="L45" i="2" s="1"/>
  <c r="M45" i="2" s="1"/>
  <c r="N45" i="2" s="1"/>
  <c r="O45" i="2" s="1"/>
  <c r="P45" i="2" s="1"/>
  <c r="D43" i="2"/>
  <c r="E43" i="2" s="1"/>
  <c r="F43" i="2" s="1"/>
  <c r="G43" i="2" s="1"/>
  <c r="H43" i="2" s="1"/>
  <c r="I43" i="2" s="1"/>
  <c r="J43" i="2" s="1"/>
  <c r="K43" i="2" s="1"/>
  <c r="L43" i="2" s="1"/>
  <c r="M43" i="2" s="1"/>
  <c r="N43" i="2" s="1"/>
  <c r="O43" i="2" s="1"/>
  <c r="P43" i="2" s="1"/>
  <c r="C21" i="2"/>
  <c r="C20" i="2"/>
  <c r="B21" i="2"/>
  <c r="B20" i="2"/>
  <c r="C15" i="2"/>
  <c r="C14" i="2"/>
  <c r="B15" i="2"/>
  <c r="B14" i="2"/>
  <c r="B58" i="2" l="1"/>
  <c r="B59" i="2" s="1"/>
  <c r="B82" i="2" l="1"/>
  <c r="P3" i="2"/>
  <c r="E92" i="2"/>
  <c r="F92" i="2"/>
  <c r="G92" i="2"/>
  <c r="H92" i="2"/>
  <c r="I92" i="2"/>
  <c r="J92" i="2"/>
  <c r="K92" i="2"/>
  <c r="L92" i="2"/>
  <c r="M92" i="2"/>
  <c r="N92" i="2"/>
  <c r="O92" i="2"/>
  <c r="P92" i="2"/>
  <c r="C57" i="2" l="1"/>
  <c r="B48" i="2"/>
  <c r="B61" i="2" l="1"/>
  <c r="C29" i="2" s="1"/>
  <c r="C9" i="2"/>
  <c r="C8" i="2"/>
  <c r="B64" i="2" l="1"/>
  <c r="B80" i="2"/>
  <c r="B9" i="2"/>
  <c r="B8" i="2"/>
  <c r="B30" i="2" l="1"/>
  <c r="C7" i="2"/>
  <c r="D7" i="2" s="1"/>
  <c r="C6" i="2"/>
  <c r="D6" i="2" s="1"/>
  <c r="D57" i="2"/>
  <c r="E57" i="2" l="1"/>
  <c r="F57" i="2" l="1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G57" i="2" l="1"/>
  <c r="B35" i="2"/>
  <c r="C35" i="2"/>
  <c r="D50" i="2" l="1"/>
  <c r="E50" i="2" s="1"/>
  <c r="F50" i="2" s="1"/>
  <c r="G50" i="2" s="1"/>
  <c r="H50" i="2" s="1"/>
  <c r="I50" i="2" s="1"/>
  <c r="J50" i="2" s="1"/>
  <c r="K50" i="2" s="1"/>
  <c r="L50" i="2" s="1"/>
  <c r="M50" i="2" s="1"/>
  <c r="N50" i="2" s="1"/>
  <c r="O50" i="2" s="1"/>
  <c r="P50" i="2" s="1"/>
  <c r="C48" i="2" l="1"/>
  <c r="D29" i="2" s="1"/>
  <c r="P75" i="2"/>
  <c r="P82" i="2"/>
  <c r="D48" i="2" l="1"/>
  <c r="E48" i="2" l="1"/>
  <c r="P30" i="2"/>
  <c r="F48" i="2" l="1"/>
  <c r="H57" i="2" l="1"/>
  <c r="G48" i="2"/>
  <c r="E29" i="2"/>
  <c r="H48" i="2" l="1"/>
  <c r="I57" i="2"/>
  <c r="F29" i="2"/>
  <c r="J57" i="2" l="1"/>
  <c r="I48" i="2"/>
  <c r="G29" i="2"/>
  <c r="K57" i="2" l="1"/>
  <c r="J48" i="2"/>
  <c r="H29" i="2"/>
  <c r="I29" i="2"/>
  <c r="B38" i="2"/>
  <c r="C30" i="2"/>
  <c r="L57" i="2" l="1"/>
  <c r="K48" i="2"/>
  <c r="J29" i="2"/>
  <c r="C38" i="2"/>
  <c r="M57" i="2" l="1"/>
  <c r="L48" i="2"/>
  <c r="D30" i="2"/>
  <c r="C61" i="2"/>
  <c r="D38" i="2"/>
  <c r="C1" i="2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N57" i="2" l="1"/>
  <c r="M48" i="2"/>
  <c r="K29" i="2"/>
  <c r="D19" i="2"/>
  <c r="E19" i="2" s="1"/>
  <c r="F19" i="2" s="1"/>
  <c r="G19" i="2" s="1"/>
  <c r="H19" i="2" s="1"/>
  <c r="I19" i="2" s="1"/>
  <c r="J19" i="2" s="1"/>
  <c r="K19" i="2" s="1"/>
  <c r="L19" i="2" s="1"/>
  <c r="M19" i="2" s="1"/>
  <c r="D9" i="2"/>
  <c r="E9" i="2" s="1"/>
  <c r="F9" i="2" s="1"/>
  <c r="L29" i="2"/>
  <c r="E61" i="2"/>
  <c r="E38" i="2"/>
  <c r="D8" i="2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B25" i="2"/>
  <c r="B7" i="2"/>
  <c r="B6" i="2"/>
  <c r="D21" i="2"/>
  <c r="E21" i="2" s="1"/>
  <c r="F21" i="2" s="1"/>
  <c r="G21" i="2" s="1"/>
  <c r="H21" i="2" s="1"/>
  <c r="I21" i="2" s="1"/>
  <c r="J21" i="2" s="1"/>
  <c r="K21" i="2" s="1"/>
  <c r="L21" i="2" s="1"/>
  <c r="M21" i="2" s="1"/>
  <c r="D20" i="2"/>
  <c r="E20" i="2" s="1"/>
  <c r="F20" i="2" s="1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D22" i="2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B32" i="2" l="1"/>
  <c r="B51" i="2" s="1"/>
  <c r="B49" i="2" s="1"/>
  <c r="B65" i="2"/>
  <c r="B66" i="2" s="1"/>
  <c r="B81" i="2"/>
  <c r="O22" i="2"/>
  <c r="P22" i="2" s="1"/>
  <c r="P8" i="2"/>
  <c r="O16" i="2"/>
  <c r="O57" i="2"/>
  <c r="N48" i="2"/>
  <c r="N21" i="2"/>
  <c r="N19" i="2"/>
  <c r="D61" i="2"/>
  <c r="E16" i="2"/>
  <c r="F38" i="2"/>
  <c r="D16" i="2"/>
  <c r="F86" i="2"/>
  <c r="G86" i="2" s="1"/>
  <c r="H86" i="2" s="1"/>
  <c r="I86" i="2" s="1"/>
  <c r="J86" i="2" s="1"/>
  <c r="K86" i="2" s="1"/>
  <c r="L86" i="2" s="1"/>
  <c r="M86" i="2" s="1"/>
  <c r="N86" i="2" s="1"/>
  <c r="O86" i="2" s="1"/>
  <c r="P86" i="2" s="1"/>
  <c r="D63" i="2"/>
  <c r="E63" i="2" s="1"/>
  <c r="F63" i="2" s="1"/>
  <c r="G63" i="2" s="1"/>
  <c r="H63" i="2" s="1"/>
  <c r="I63" i="2" s="1"/>
  <c r="J63" i="2" s="1"/>
  <c r="K63" i="2" s="1"/>
  <c r="L63" i="2" s="1"/>
  <c r="M63" i="2" s="1"/>
  <c r="N63" i="2" s="1"/>
  <c r="O63" i="2" s="1"/>
  <c r="P63" i="2" s="1"/>
  <c r="D79" i="2"/>
  <c r="E79" i="2" s="1"/>
  <c r="F79" i="2" s="1"/>
  <c r="G79" i="2" s="1"/>
  <c r="H79" i="2" s="1"/>
  <c r="I79" i="2" s="1"/>
  <c r="J79" i="2" s="1"/>
  <c r="K79" i="2" s="1"/>
  <c r="L79" i="2" s="1"/>
  <c r="M79" i="2" s="1"/>
  <c r="N79" i="2" s="1"/>
  <c r="O79" i="2" s="1"/>
  <c r="P79" i="2" s="1"/>
  <c r="B84" i="2" l="1"/>
  <c r="B83" i="2"/>
  <c r="O19" i="2"/>
  <c r="P19" i="2" s="1"/>
  <c r="O21" i="2"/>
  <c r="P21" i="2" s="1"/>
  <c r="P57" i="2"/>
  <c r="O48" i="2"/>
  <c r="M29" i="2"/>
  <c r="F16" i="2"/>
  <c r="F61" i="2"/>
  <c r="G61" i="2"/>
  <c r="G38" i="2"/>
  <c r="G9" i="2"/>
  <c r="H9" i="2" s="1"/>
  <c r="G16" i="2"/>
  <c r="D82" i="2"/>
  <c r="E82" i="2"/>
  <c r="F82" i="2"/>
  <c r="G82" i="2"/>
  <c r="H82" i="2"/>
  <c r="I82" i="2"/>
  <c r="J82" i="2"/>
  <c r="K82" i="2"/>
  <c r="L82" i="2"/>
  <c r="M82" i="2"/>
  <c r="N82" i="2"/>
  <c r="O82" i="2"/>
  <c r="C82" i="2"/>
  <c r="N29" i="2" l="1"/>
  <c r="H61" i="2"/>
  <c r="H38" i="2"/>
  <c r="H16" i="2"/>
  <c r="I9" i="2"/>
  <c r="P48" i="2" l="1"/>
  <c r="O29" i="2"/>
  <c r="P29" i="2"/>
  <c r="I61" i="2"/>
  <c r="I38" i="2"/>
  <c r="J9" i="2"/>
  <c r="I16" i="2"/>
  <c r="E30" i="2"/>
  <c r="F30" i="2"/>
  <c r="G30" i="2"/>
  <c r="H30" i="2"/>
  <c r="I30" i="2"/>
  <c r="J30" i="2"/>
  <c r="K30" i="2"/>
  <c r="L30" i="2"/>
  <c r="M30" i="2"/>
  <c r="N30" i="2"/>
  <c r="O30" i="2"/>
  <c r="J61" i="2" l="1"/>
  <c r="J38" i="2"/>
  <c r="K9" i="2"/>
  <c r="J16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D56" i="2"/>
  <c r="E56" i="2" s="1"/>
  <c r="F56" i="2" s="1"/>
  <c r="G56" i="2" s="1"/>
  <c r="H56" i="2" s="1"/>
  <c r="I56" i="2" s="1"/>
  <c r="J56" i="2" s="1"/>
  <c r="K56" i="2" s="1"/>
  <c r="L56" i="2" s="1"/>
  <c r="M56" i="2" s="1"/>
  <c r="N56" i="2" s="1"/>
  <c r="O56" i="2" s="1"/>
  <c r="P56" i="2" s="1"/>
  <c r="D42" i="2"/>
  <c r="E42" i="2" s="1"/>
  <c r="F42" i="2" s="1"/>
  <c r="G42" i="2" s="1"/>
  <c r="H42" i="2" s="1"/>
  <c r="I42" i="2" s="1"/>
  <c r="J42" i="2" s="1"/>
  <c r="K42" i="2" s="1"/>
  <c r="L42" i="2" s="1"/>
  <c r="M42" i="2" s="1"/>
  <c r="N42" i="2" s="1"/>
  <c r="O42" i="2" s="1"/>
  <c r="P42" i="2" s="1"/>
  <c r="C34" i="2"/>
  <c r="D34" i="2" s="1"/>
  <c r="E34" i="2" s="1"/>
  <c r="F34" i="2" s="1"/>
  <c r="G34" i="2" s="1"/>
  <c r="H34" i="2" s="1"/>
  <c r="I34" i="2" s="1"/>
  <c r="J34" i="2" s="1"/>
  <c r="K34" i="2" s="1"/>
  <c r="L34" i="2" s="1"/>
  <c r="M34" i="2" s="1"/>
  <c r="N34" i="2" s="1"/>
  <c r="O34" i="2" s="1"/>
  <c r="P34" i="2" s="1"/>
  <c r="P58" i="2" l="1"/>
  <c r="P59" i="2" s="1"/>
  <c r="K61" i="2"/>
  <c r="K38" i="2"/>
  <c r="L9" i="2"/>
  <c r="K16" i="2"/>
  <c r="D23" i="2"/>
  <c r="E23" i="2" s="1"/>
  <c r="F23" i="2" s="1"/>
  <c r="G23" i="2" s="1"/>
  <c r="H23" i="2" s="1"/>
  <c r="I23" i="2" s="1"/>
  <c r="J23" i="2" s="1"/>
  <c r="K23" i="2" s="1"/>
  <c r="L23" i="2" s="1"/>
  <c r="M23" i="2" s="1"/>
  <c r="N23" i="2" s="1"/>
  <c r="B73" i="2"/>
  <c r="B75" i="2"/>
  <c r="O23" i="2" l="1"/>
  <c r="P23" i="2" s="1"/>
  <c r="L61" i="2"/>
  <c r="L38" i="2"/>
  <c r="M9" i="2"/>
  <c r="L16" i="2"/>
  <c r="B72" i="2"/>
  <c r="B74" i="2" s="1"/>
  <c r="M38" i="2" l="1"/>
  <c r="N61" i="2"/>
  <c r="M16" i="2"/>
  <c r="N9" i="2"/>
  <c r="C72" i="2"/>
  <c r="D58" i="2"/>
  <c r="D59" i="2" s="1"/>
  <c r="C58" i="2"/>
  <c r="C59" i="2" s="1"/>
  <c r="C80" i="2"/>
  <c r="C64" i="2"/>
  <c r="M61" i="2" l="1"/>
  <c r="N38" i="2"/>
  <c r="O9" i="2"/>
  <c r="N16" i="2"/>
  <c r="D72" i="2"/>
  <c r="E72" i="2"/>
  <c r="E87" i="2"/>
  <c r="E58" i="2"/>
  <c r="E59" i="2" s="1"/>
  <c r="D80" i="2"/>
  <c r="D64" i="2"/>
  <c r="E80" i="2"/>
  <c r="E64" i="2"/>
  <c r="F87" i="2"/>
  <c r="P9" i="2" l="1"/>
  <c r="P16" i="2"/>
  <c r="O38" i="2"/>
  <c r="P38" i="2"/>
  <c r="F58" i="2"/>
  <c r="F59" i="2" s="1"/>
  <c r="G87" i="2"/>
  <c r="F72" i="2"/>
  <c r="F64" i="2"/>
  <c r="F80" i="2"/>
  <c r="P61" i="2" l="1"/>
  <c r="O61" i="2"/>
  <c r="G58" i="2"/>
  <c r="G59" i="2" s="1"/>
  <c r="H87" i="2"/>
  <c r="G64" i="2"/>
  <c r="G80" i="2"/>
  <c r="G72" i="2"/>
  <c r="P80" i="2" l="1"/>
  <c r="P72" i="2"/>
  <c r="P64" i="2"/>
  <c r="P87" i="2"/>
  <c r="H58" i="2"/>
  <c r="H59" i="2" s="1"/>
  <c r="H80" i="2"/>
  <c r="H72" i="2"/>
  <c r="H64" i="2"/>
  <c r="I87" i="2"/>
  <c r="I58" i="2" l="1"/>
  <c r="I59" i="2" s="1"/>
  <c r="J87" i="2"/>
  <c r="I80" i="2"/>
  <c r="I72" i="2"/>
  <c r="I64" i="2"/>
  <c r="J58" i="2" l="1"/>
  <c r="J59" i="2" s="1"/>
  <c r="K87" i="2"/>
  <c r="J80" i="2"/>
  <c r="J72" i="2"/>
  <c r="J64" i="2"/>
  <c r="K58" i="2" l="1"/>
  <c r="K59" i="2" s="1"/>
  <c r="L87" i="2"/>
  <c r="K72" i="2"/>
  <c r="K64" i="2"/>
  <c r="K80" i="2"/>
  <c r="L58" i="2" l="1"/>
  <c r="L59" i="2" s="1"/>
  <c r="L72" i="2"/>
  <c r="L64" i="2"/>
  <c r="L80" i="2"/>
  <c r="M87" i="2"/>
  <c r="M58" i="2" l="1"/>
  <c r="M59" i="2" s="1"/>
  <c r="O87" i="2"/>
  <c r="M72" i="2"/>
  <c r="M64" i="2"/>
  <c r="M80" i="2"/>
  <c r="N87" i="2"/>
  <c r="O58" i="2" l="1"/>
  <c r="O59" i="2" s="1"/>
  <c r="N58" i="2"/>
  <c r="N59" i="2" s="1"/>
  <c r="O64" i="2"/>
  <c r="O80" i="2"/>
  <c r="O72" i="2"/>
  <c r="N72" i="2"/>
  <c r="N64" i="2"/>
  <c r="N80" i="2"/>
  <c r="E6" i="2" l="1"/>
  <c r="D14" i="2"/>
  <c r="D12" i="2" s="1"/>
  <c r="D17" i="2" s="1"/>
  <c r="F6" i="2" l="1"/>
  <c r="E14" i="2"/>
  <c r="E12" i="2" s="1"/>
  <c r="E17" i="2" s="1"/>
  <c r="F14" i="2" l="1"/>
  <c r="F12" i="2" s="1"/>
  <c r="F17" i="2" s="1"/>
  <c r="G6" i="2"/>
  <c r="H6" i="2" l="1"/>
  <c r="G14" i="2"/>
  <c r="G12" i="2" s="1"/>
  <c r="G17" i="2" s="1"/>
  <c r="H14" i="2" l="1"/>
  <c r="H12" i="2" s="1"/>
  <c r="H17" i="2" s="1"/>
  <c r="I6" i="2"/>
  <c r="J6" i="2" l="1"/>
  <c r="I14" i="2"/>
  <c r="I12" i="2" s="1"/>
  <c r="I17" i="2" s="1"/>
  <c r="K6" i="2" l="1"/>
  <c r="J14" i="2"/>
  <c r="J12" i="2" s="1"/>
  <c r="J17" i="2" s="1"/>
  <c r="K14" i="2" l="1"/>
  <c r="K12" i="2" s="1"/>
  <c r="K17" i="2" s="1"/>
  <c r="L6" i="2"/>
  <c r="M6" i="2" l="1"/>
  <c r="L14" i="2"/>
  <c r="L12" i="2" s="1"/>
  <c r="L17" i="2" s="1"/>
  <c r="M14" i="2" l="1"/>
  <c r="M12" i="2" s="1"/>
  <c r="M17" i="2" s="1"/>
  <c r="N6" i="2"/>
  <c r="O6" i="2" l="1"/>
  <c r="O14" i="2" s="1"/>
  <c r="O12" i="2" s="1"/>
  <c r="O17" i="2" s="1"/>
  <c r="N14" i="2"/>
  <c r="N12" i="2" s="1"/>
  <c r="N17" i="2" s="1"/>
  <c r="P6" i="2" l="1"/>
  <c r="P14" i="2" s="1"/>
  <c r="P12" i="2" s="1"/>
  <c r="P17" i="2" s="1"/>
  <c r="C25" i="2"/>
  <c r="D15" i="2"/>
  <c r="D25" i="2" s="1"/>
  <c r="E7" i="2" l="1"/>
  <c r="F7" i="2" s="1"/>
  <c r="D32" i="2"/>
  <c r="D81" i="2"/>
  <c r="D65" i="2"/>
  <c r="D66" i="2" s="1"/>
  <c r="D73" i="2"/>
  <c r="D74" i="2" s="1"/>
  <c r="C73" i="2"/>
  <c r="C74" i="2" s="1"/>
  <c r="C81" i="2"/>
  <c r="C32" i="2"/>
  <c r="C51" i="2" s="1"/>
  <c r="C49" i="2" s="1"/>
  <c r="C65" i="2"/>
  <c r="C66" i="2" s="1"/>
  <c r="E15" i="2" l="1"/>
  <c r="E25" i="2" s="1"/>
  <c r="E81" i="2" s="1"/>
  <c r="D51" i="2"/>
  <c r="D49" i="2" s="1"/>
  <c r="D83" i="2"/>
  <c r="D84" i="2"/>
  <c r="C83" i="2"/>
  <c r="C84" i="2"/>
  <c r="G7" i="2"/>
  <c r="F15" i="2"/>
  <c r="F25" i="2" s="1"/>
  <c r="E90" i="2" l="1"/>
  <c r="E32" i="2"/>
  <c r="E51" i="2" s="1"/>
  <c r="E49" i="2" s="1"/>
  <c r="E73" i="2"/>
  <c r="E74" i="2" s="1"/>
  <c r="E65" i="2"/>
  <c r="E66" i="2" s="1"/>
  <c r="E69" i="2" s="1"/>
  <c r="F32" i="2"/>
  <c r="F90" i="2"/>
  <c r="F93" i="2" s="1"/>
  <c r="F73" i="2"/>
  <c r="F74" i="2" s="1"/>
  <c r="F81" i="2"/>
  <c r="F65" i="2"/>
  <c r="F66" i="2" s="1"/>
  <c r="F69" i="2" s="1"/>
  <c r="H7" i="2"/>
  <c r="G15" i="2"/>
  <c r="G25" i="2" s="1"/>
  <c r="E83" i="2"/>
  <c r="E84" i="2"/>
  <c r="E93" i="2" l="1"/>
  <c r="E94" i="2" s="1"/>
  <c r="F94" i="2" s="1"/>
  <c r="F51" i="2"/>
  <c r="F49" i="2" s="1"/>
  <c r="G73" i="2"/>
  <c r="G74" i="2" s="1"/>
  <c r="G90" i="2"/>
  <c r="G93" i="2" s="1"/>
  <c r="G32" i="2"/>
  <c r="G81" i="2"/>
  <c r="G65" i="2"/>
  <c r="G66" i="2" s="1"/>
  <c r="G69" i="2" s="1"/>
  <c r="H15" i="2"/>
  <c r="H25" i="2" s="1"/>
  <c r="I7" i="2"/>
  <c r="F83" i="2"/>
  <c r="F84" i="2"/>
  <c r="G51" i="2" l="1"/>
  <c r="G49" i="2" s="1"/>
  <c r="G94" i="2"/>
  <c r="J7" i="2"/>
  <c r="I15" i="2"/>
  <c r="I25" i="2" s="1"/>
  <c r="H81" i="2"/>
  <c r="H65" i="2"/>
  <c r="H66" i="2" s="1"/>
  <c r="H69" i="2" s="1"/>
  <c r="H73" i="2"/>
  <c r="H74" i="2" s="1"/>
  <c r="H90" i="2"/>
  <c r="H93" i="2" s="1"/>
  <c r="H32" i="2"/>
  <c r="G83" i="2"/>
  <c r="G84" i="2"/>
  <c r="H51" i="2" l="1"/>
  <c r="H49" i="2" s="1"/>
  <c r="H94" i="2"/>
  <c r="H83" i="2"/>
  <c r="H84" i="2"/>
  <c r="I81" i="2"/>
  <c r="I90" i="2"/>
  <c r="I93" i="2" s="1"/>
  <c r="I65" i="2"/>
  <c r="I66" i="2" s="1"/>
  <c r="I69" i="2" s="1"/>
  <c r="I32" i="2"/>
  <c r="I73" i="2"/>
  <c r="I74" i="2" s="1"/>
  <c r="K7" i="2"/>
  <c r="J15" i="2"/>
  <c r="J25" i="2" s="1"/>
  <c r="I51" i="2" l="1"/>
  <c r="I49" i="2" s="1"/>
  <c r="I94" i="2"/>
  <c r="I84" i="2"/>
  <c r="I83" i="2"/>
  <c r="J73" i="2"/>
  <c r="J74" i="2" s="1"/>
  <c r="J90" i="2"/>
  <c r="J93" i="2" s="1"/>
  <c r="J65" i="2"/>
  <c r="J66" i="2" s="1"/>
  <c r="J69" i="2" s="1"/>
  <c r="J81" i="2"/>
  <c r="J32" i="2"/>
  <c r="L7" i="2"/>
  <c r="K15" i="2"/>
  <c r="K25" i="2" s="1"/>
  <c r="J51" i="2" l="1"/>
  <c r="J49" i="2" s="1"/>
  <c r="J94" i="2"/>
  <c r="J83" i="2"/>
  <c r="J84" i="2"/>
  <c r="K81" i="2"/>
  <c r="K32" i="2"/>
  <c r="K90" i="2"/>
  <c r="K93" i="2" s="1"/>
  <c r="K73" i="2"/>
  <c r="K74" i="2" s="1"/>
  <c r="K65" i="2"/>
  <c r="K66" i="2" s="1"/>
  <c r="K69" i="2" s="1"/>
  <c r="L15" i="2"/>
  <c r="L25" i="2" s="1"/>
  <c r="M7" i="2"/>
  <c r="K51" i="2" l="1"/>
  <c r="K49" i="2" s="1"/>
  <c r="K94" i="2"/>
  <c r="K83" i="2"/>
  <c r="K84" i="2"/>
  <c r="M15" i="2"/>
  <c r="M25" i="2" s="1"/>
  <c r="N7" i="2"/>
  <c r="L81" i="2"/>
  <c r="L90" i="2"/>
  <c r="L93" i="2" s="1"/>
  <c r="L32" i="2"/>
  <c r="L73" i="2"/>
  <c r="L74" i="2" s="1"/>
  <c r="L65" i="2"/>
  <c r="L66" i="2" s="1"/>
  <c r="L69" i="2" s="1"/>
  <c r="L51" i="2" l="1"/>
  <c r="L49" i="2" s="1"/>
  <c r="L94" i="2"/>
  <c r="L83" i="2"/>
  <c r="L84" i="2"/>
  <c r="N15" i="2"/>
  <c r="N25" i="2" s="1"/>
  <c r="O7" i="2"/>
  <c r="O15" i="2" s="1"/>
  <c r="M32" i="2"/>
  <c r="M65" i="2"/>
  <c r="M66" i="2" s="1"/>
  <c r="M69" i="2" s="1"/>
  <c r="M90" i="2"/>
  <c r="M93" i="2" s="1"/>
  <c r="M73" i="2"/>
  <c r="M74" i="2" s="1"/>
  <c r="M81" i="2"/>
  <c r="M51" i="2" l="1"/>
  <c r="M49" i="2" s="1"/>
  <c r="M94" i="2"/>
  <c r="O25" i="2"/>
  <c r="P7" i="2"/>
  <c r="P15" i="2" s="1"/>
  <c r="P25" i="2" s="1"/>
  <c r="N65" i="2"/>
  <c r="N66" i="2" s="1"/>
  <c r="N69" i="2" s="1"/>
  <c r="N32" i="2"/>
  <c r="N90" i="2"/>
  <c r="N93" i="2" s="1"/>
  <c r="N81" i="2"/>
  <c r="N73" i="2"/>
  <c r="N74" i="2" s="1"/>
  <c r="M84" i="2"/>
  <c r="M83" i="2"/>
  <c r="N51" i="2" l="1"/>
  <c r="N49" i="2" s="1"/>
  <c r="N94" i="2"/>
  <c r="P73" i="2"/>
  <c r="P74" i="2" s="1"/>
  <c r="P90" i="2"/>
  <c r="P93" i="2" s="1"/>
  <c r="P32" i="2"/>
  <c r="P81" i="2"/>
  <c r="P65" i="2"/>
  <c r="P66" i="2" s="1"/>
  <c r="P69" i="2" s="1"/>
  <c r="O81" i="2"/>
  <c r="O90" i="2"/>
  <c r="O93" i="2" s="1"/>
  <c r="O65" i="2"/>
  <c r="O66" i="2" s="1"/>
  <c r="O69" i="2" s="1"/>
  <c r="O73" i="2"/>
  <c r="O74" i="2" s="1"/>
  <c r="O32" i="2"/>
  <c r="N84" i="2"/>
  <c r="N83" i="2"/>
  <c r="P51" i="2" l="1"/>
  <c r="P49" i="2" s="1"/>
  <c r="O51" i="2"/>
  <c r="O49" i="2" s="1"/>
  <c r="O94" i="2"/>
  <c r="P94" i="2" s="1"/>
  <c r="O83" i="2"/>
  <c r="O84" i="2"/>
  <c r="P84" i="2"/>
  <c r="P83" i="2"/>
</calcChain>
</file>

<file path=xl/sharedStrings.xml><?xml version="1.0" encoding="utf-8"?>
<sst xmlns="http://schemas.openxmlformats.org/spreadsheetml/2006/main" count="77" uniqueCount="67">
  <si>
    <t>Hinnamuutuse indeks</t>
  </si>
  <si>
    <t>Vee-erikasutustasu</t>
  </si>
  <si>
    <t>Tööjõukulu muutuse indeks</t>
  </si>
  <si>
    <t>TOOTMISMAHUD</t>
  </si>
  <si>
    <t>MUUTUVKULUD</t>
  </si>
  <si>
    <t>PÜSIKULUD</t>
  </si>
  <si>
    <t>Tööjõukulu</t>
  </si>
  <si>
    <t>Reovee saastetasu</t>
  </si>
  <si>
    <t>VESI MÜÜDUD KOKKU</t>
  </si>
  <si>
    <t>REOVESI MÜÜDUD KOKKU</t>
  </si>
  <si>
    <t>TEGEVUSKULUDE JA LAENUKATTKORDAJA TÄITMINE</t>
  </si>
  <si>
    <t>TEGEVUSTULUD</t>
  </si>
  <si>
    <t>Elektrikulu reoveepuhasti ja -pumplad</t>
  </si>
  <si>
    <t>Elektrikulu joogiveevarustus</t>
  </si>
  <si>
    <t>FINANTSKOHUSTUSED</t>
  </si>
  <si>
    <t>TULUD KOKKU</t>
  </si>
  <si>
    <t>RAHAVOOG ENNE LAENUTEENINDUST</t>
  </si>
  <si>
    <t>LAENUKATTEKORDAJA</t>
  </si>
  <si>
    <t>TEGEVUSKULUD</t>
  </si>
  <si>
    <t>Teenuste kulu kuus keskmisel ühiktarbimisel</t>
  </si>
  <si>
    <t>Teenuse kulukus (%)</t>
  </si>
  <si>
    <t>OMAKAPITALI KULUM</t>
  </si>
  <si>
    <t>VEEMAJANDUSE EBITDA</t>
  </si>
  <si>
    <t>VEEMAJANDUSE TULEMINÄITAJAD</t>
  </si>
  <si>
    <t>TEGEVUSKULUD (KULUMITA)</t>
  </si>
  <si>
    <t>Reovesi reoveepuhastitesse (m3)</t>
  </si>
  <si>
    <t>VEEMAJANDUSE EBIT (OMAKAP.KULUMi KATMINE)</t>
  </si>
  <si>
    <t>Masinate ja kütuse kulud</t>
  </si>
  <si>
    <t>Hooldus (sh.kaubad, toore sisseost), vesi</t>
  </si>
  <si>
    <t>Hooldus (sh.kaubad, toore, sisseost), kanal.</t>
  </si>
  <si>
    <t>Sihtfinantseeringutevälise põhivara kulum</t>
  </si>
  <si>
    <t>Põhjendatud tulukus varadelt (WACC väärtusel 6,28%)</t>
  </si>
  <si>
    <t>Põhivara jääkmaksumus põhjendatud tulususe arvestamiseks</t>
  </si>
  <si>
    <t>RAHAVOOG (EBITDA) ENNE LAENUTEENINDUST</t>
  </si>
  <si>
    <t>SISSETULEKUD: TEGEVUSTULUD</t>
  </si>
  <si>
    <t>VÄLJAMINEKUD: TEGEVUSKULUD</t>
  </si>
  <si>
    <t xml:space="preserve">VÄLJAMINEKUD: INVESTEERINGUD </t>
  </si>
  <si>
    <t>VÄLJAMINEKUD: FINANTSKOHUSTUSED</t>
  </si>
  <si>
    <r>
      <t>MÜÜGIMAHT TEENUSPIIRKONNAS (M</t>
    </r>
    <r>
      <rPr>
        <b/>
        <sz val="11"/>
        <color theme="1"/>
        <rFont val="Calibri"/>
        <family val="2"/>
        <charset val="186"/>
      </rPr>
      <t>³)</t>
    </r>
  </si>
  <si>
    <t>Veetoodang (m3)</t>
  </si>
  <si>
    <t>VEEMAJANDUSTEENUSTE TEGEVUSKULUD KOKKU</t>
  </si>
  <si>
    <t>Käibekapitaliosa (5%) põhjendatud tulususe arvestamiseks</t>
  </si>
  <si>
    <t>MUU VEETEENUSTE TULU</t>
  </si>
  <si>
    <t>VEETEENUSTE PÕHJENDATUD TULUD (KONKURENTSIAMETI METOD.)</t>
  </si>
  <si>
    <r>
      <t>TEENUSTASUD TEENUSPIIRKONDADES m</t>
    </r>
    <r>
      <rPr>
        <b/>
        <sz val="11"/>
        <color theme="1"/>
        <rFont val="Calibri"/>
        <family val="2"/>
        <charset val="186"/>
      </rPr>
      <t>³</t>
    </r>
    <r>
      <rPr>
        <b/>
        <sz val="11"/>
        <color theme="1"/>
        <rFont val="Calibri"/>
        <family val="2"/>
        <charset val="186"/>
        <scheme val="minor"/>
      </rPr>
      <t xml:space="preserve"> kohta käibemaksuta</t>
    </r>
  </si>
  <si>
    <t>PÕHJENDATUD TARIIFITULUD</t>
  </si>
  <si>
    <t>Elanike keskmine ühiktarbimine l/p/in</t>
  </si>
  <si>
    <t>SISSETULEKUD: INVESTEERINGULAENUDE VÕTMINE</t>
  </si>
  <si>
    <t>LAENUKATTEKORDAJA ARVESTUS</t>
  </si>
  <si>
    <t>IT, administreeirimis- ja kommunikatsiooniteenuste kulud</t>
  </si>
  <si>
    <t>Veeteenustesse arvestatavate kulu- ja põhjendatud tulususkomponentide summa</t>
  </si>
  <si>
    <t>TARIIFIDE TULU, PROGNOOSTULU KOKKU</t>
  </si>
  <si>
    <t>Teenuspiirkondade majapidamised</t>
  </si>
  <si>
    <t>Teenuspiirkondade jur isikud</t>
  </si>
  <si>
    <t>Vesi, elanikud</t>
  </si>
  <si>
    <t>Reovesi, elanikud</t>
  </si>
  <si>
    <t>Vesi, jur isikud</t>
  </si>
  <si>
    <t>Reovesi, jur isikud</t>
  </si>
  <si>
    <t>FINANTSKOHUSTUSTE KATMINE (INTRESSID)</t>
  </si>
  <si>
    <t>FINANTSKOHUSTUSTE KATMINE (PÕHIOSAMAKSED)</t>
  </si>
  <si>
    <t>RAHAVOOG PROGNOOSAASTATE LÕIKES</t>
  </si>
  <si>
    <t>Teenuse kulukus tarbmistase 150 l/p</t>
  </si>
  <si>
    <t>Leibkonnaliikme keskmine sissetulek kuus (Järvamaa)</t>
  </si>
  <si>
    <t>VEEMAJANDUSE RAHAVOOGUDE PROGNOOS ALATES 2026.A</t>
  </si>
  <si>
    <t>KUMULATIIVNE RAHAVOOG AL 2026</t>
  </si>
  <si>
    <t>SISETULEKUD: JÄRVA VALLA POOLNE INVESTEERINGUTE RAHASTUS</t>
  </si>
  <si>
    <t>Lisa 4. AS PAIDE VESI JÄRVA VALLA VEEMAJANDUSE FINANTSPROGNOOS 2025-2037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</si>
</sst>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0.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10" fillId="0" borderId="0" applyFont="0" applyFill="0" applyBorder="0" applyAlignment="0" applyProtection="0"/>
    <xf numFmtId="0" fontId="1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5" fillId="2" borderId="2" xfId="0" applyFont="1" applyFill="1" applyBorder="1"/>
    <xf numFmtId="0" fontId="6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6" fillId="2" borderId="2" xfId="0" applyFont="1" applyFill="1" applyBorder="1"/>
    <xf numFmtId="0" fontId="0" fillId="2" borderId="0" xfId="0" applyFill="1"/>
    <xf numFmtId="1" fontId="7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/>
    <xf numFmtId="0" fontId="4" fillId="2" borderId="0" xfId="0" applyFont="1" applyFill="1"/>
    <xf numFmtId="0" fontId="7" fillId="2" borderId="0" xfId="0" applyFont="1" applyFill="1"/>
    <xf numFmtId="2" fontId="5" fillId="2" borderId="1" xfId="0" applyNumberFormat="1" applyFont="1" applyFill="1" applyBorder="1" applyAlignment="1">
      <alignment horizontal="center"/>
    </xf>
    <xf numFmtId="1" fontId="0" fillId="0" borderId="0" xfId="0" applyNumberFormat="1"/>
    <xf numFmtId="0" fontId="4" fillId="2" borderId="1" xfId="0" applyFont="1" applyFill="1" applyBorder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11" fillId="2" borderId="1" xfId="0" applyFont="1" applyFill="1" applyBorder="1"/>
    <xf numFmtId="165" fontId="11" fillId="2" borderId="1" xfId="1" applyNumberFormat="1" applyFont="1" applyFill="1" applyBorder="1" applyAlignment="1">
      <alignment horizontal="center"/>
    </xf>
    <xf numFmtId="2" fontId="0" fillId="0" borderId="0" xfId="0" applyNumberFormat="1"/>
    <xf numFmtId="0" fontId="13" fillId="2" borderId="0" xfId="0" applyFont="1" applyFill="1"/>
    <xf numFmtId="164" fontId="4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166" fontId="4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1" fontId="13" fillId="2" borderId="0" xfId="0" applyNumberFormat="1" applyFont="1" applyFill="1"/>
    <xf numFmtId="1" fontId="7" fillId="2" borderId="0" xfId="0" applyNumberFormat="1" applyFont="1" applyFill="1" applyAlignment="1">
      <alignment horizontal="center"/>
    </xf>
    <xf numFmtId="0" fontId="14" fillId="2" borderId="1" xfId="0" applyFont="1" applyFill="1" applyBorder="1"/>
    <xf numFmtId="3" fontId="8" fillId="2" borderId="1" xfId="0" applyNumberFormat="1" applyFont="1" applyFill="1" applyBorder="1" applyAlignment="1">
      <alignment horizontal="center"/>
    </xf>
    <xf numFmtId="0" fontId="8" fillId="2" borderId="2" xfId="0" applyFont="1" applyFill="1" applyBorder="1"/>
    <xf numFmtId="2" fontId="7" fillId="2" borderId="1" xfId="0" quotePrefix="1" applyNumberFormat="1" applyFont="1" applyFill="1" applyBorder="1" applyAlignment="1">
      <alignment horizontal="center"/>
    </xf>
    <xf numFmtId="10" fontId="5" fillId="2" borderId="1" xfId="1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 vertical="center"/>
    </xf>
    <xf numFmtId="165" fontId="7" fillId="2" borderId="1" xfId="5" applyNumberFormat="1" applyFont="1" applyFill="1" applyBorder="1" applyAlignment="1">
      <alignment horizontal="center"/>
    </xf>
    <xf numFmtId="165" fontId="6" fillId="2" borderId="1" xfId="3" applyNumberFormat="1" applyFont="1" applyFill="1" applyBorder="1" applyAlignment="1">
      <alignment horizontal="center"/>
    </xf>
    <xf numFmtId="0" fontId="7" fillId="2" borderId="1" xfId="0" applyFont="1" applyFill="1" applyBorder="1"/>
    <xf numFmtId="2" fontId="7" fillId="2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2" fontId="6" fillId="2" borderId="1" xfId="0" applyNumberFormat="1" applyFont="1" applyFill="1" applyBorder="1" applyAlignment="1">
      <alignment horizontal="center"/>
    </xf>
    <xf numFmtId="0" fontId="17" fillId="2" borderId="1" xfId="0" applyFont="1" applyFill="1" applyBorder="1"/>
    <xf numFmtId="1" fontId="17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3" fontId="7" fillId="2" borderId="1" xfId="0" applyNumberFormat="1" applyFont="1" applyFill="1" applyBorder="1" applyAlignment="1">
      <alignment horizontal="center"/>
    </xf>
  </cellXfs>
  <cellStyles count="7">
    <cellStyle name="Normaallaad 2" xfId="5" xr:uid="{A4D3E4B3-2970-43DE-B274-E5FAB0131943}"/>
    <cellStyle name="Normaallaad 4" xfId="2" xr:uid="{00000000-0005-0000-0000-000000000000}"/>
    <cellStyle name="Normal" xfId="0" builtinId="0"/>
    <cellStyle name="Normal 2" xfId="3" xr:uid="{00000000-0005-0000-0000-000002000000}"/>
    <cellStyle name="Percent" xfId="1" builtinId="5"/>
    <cellStyle name="Percent 2" xfId="4" xr:uid="{00000000-0005-0000-0000-000004000000}"/>
    <cellStyle name="Protsent 2" xfId="6" xr:uid="{56187100-B403-47A7-B3B7-3149303A88C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A5423-49AE-4E53-ABC3-0B14BA8FF529}">
  <dimension ref="A1:R122"/>
  <sheetViews>
    <sheetView tabSelected="1" zoomScale="91" zoomScaleNormal="91" workbookViewId="0">
      <selection activeCell="A43" sqref="A43"/>
    </sheetView>
  </sheetViews>
  <sheetFormatPr defaultRowHeight="14.5" x14ac:dyDescent="0.35"/>
  <cols>
    <col min="1" max="1" width="66" customWidth="1"/>
    <col min="2" max="2" width="11.36328125" customWidth="1"/>
    <col min="3" max="3" width="11.1796875" customWidth="1"/>
    <col min="4" max="4" width="11" customWidth="1"/>
    <col min="5" max="5" width="11.54296875" customWidth="1"/>
    <col min="6" max="6" width="10.6328125" customWidth="1"/>
    <col min="7" max="7" width="11.90625" customWidth="1"/>
    <col min="8" max="8" width="11.6328125" customWidth="1"/>
    <col min="9" max="9" width="11.1796875" customWidth="1"/>
    <col min="10" max="10" width="12.1796875" customWidth="1"/>
    <col min="11" max="11" width="12.54296875" customWidth="1"/>
    <col min="12" max="12" width="12.6328125" customWidth="1"/>
    <col min="13" max="13" width="12.36328125" customWidth="1"/>
    <col min="14" max="14" width="13" customWidth="1"/>
    <col min="15" max="15" width="12.6328125" customWidth="1"/>
    <col min="16" max="16" width="13" customWidth="1"/>
    <col min="17" max="17" width="11.1796875" customWidth="1"/>
    <col min="18" max="18" width="10.1796875" customWidth="1"/>
    <col min="19" max="19" width="11" customWidth="1"/>
  </cols>
  <sheetData>
    <row r="1" spans="1:18" x14ac:dyDescent="0.35">
      <c r="A1" s="21" t="s">
        <v>66</v>
      </c>
      <c r="B1" s="22">
        <v>2023</v>
      </c>
      <c r="C1" s="22">
        <f t="shared" ref="C1:P1" si="0">B1+1</f>
        <v>2024</v>
      </c>
      <c r="D1" s="22">
        <f t="shared" si="0"/>
        <v>2025</v>
      </c>
      <c r="E1" s="22">
        <f t="shared" si="0"/>
        <v>2026</v>
      </c>
      <c r="F1" s="22">
        <f t="shared" si="0"/>
        <v>2027</v>
      </c>
      <c r="G1" s="22">
        <f t="shared" si="0"/>
        <v>2028</v>
      </c>
      <c r="H1" s="22">
        <f t="shared" si="0"/>
        <v>2029</v>
      </c>
      <c r="I1" s="22">
        <f t="shared" si="0"/>
        <v>2030</v>
      </c>
      <c r="J1" s="22">
        <f t="shared" si="0"/>
        <v>2031</v>
      </c>
      <c r="K1" s="22">
        <f t="shared" si="0"/>
        <v>2032</v>
      </c>
      <c r="L1" s="22">
        <f t="shared" si="0"/>
        <v>2033</v>
      </c>
      <c r="M1" s="22">
        <f t="shared" si="0"/>
        <v>2034</v>
      </c>
      <c r="N1" s="22">
        <f t="shared" si="0"/>
        <v>2035</v>
      </c>
      <c r="O1" s="22">
        <f t="shared" si="0"/>
        <v>2036</v>
      </c>
      <c r="P1" s="22">
        <f t="shared" si="0"/>
        <v>2037</v>
      </c>
    </row>
    <row r="2" spans="1:18" ht="13.75" customHeight="1" x14ac:dyDescent="0.35">
      <c r="A2" s="15" t="s">
        <v>0</v>
      </c>
      <c r="B2" s="36">
        <v>9.1999999999999998E-2</v>
      </c>
      <c r="C2" s="36">
        <v>3.5000000000000003E-2</v>
      </c>
      <c r="D2" s="37">
        <v>5.1999999999999998E-2</v>
      </c>
      <c r="E2" s="37">
        <v>3.3000000000000002E-2</v>
      </c>
      <c r="F2" s="37">
        <v>2.4E-2</v>
      </c>
      <c r="G2" s="37">
        <v>2.1999999999999999E-2</v>
      </c>
      <c r="H2" s="37">
        <v>0.02</v>
      </c>
      <c r="I2" s="37">
        <v>0.02</v>
      </c>
      <c r="J2" s="37">
        <v>0.02</v>
      </c>
      <c r="K2" s="37">
        <v>0.02</v>
      </c>
      <c r="L2" s="37">
        <v>0.02</v>
      </c>
      <c r="M2" s="37">
        <v>0.02</v>
      </c>
      <c r="N2" s="37">
        <v>0.02</v>
      </c>
      <c r="O2" s="37">
        <v>0.02</v>
      </c>
      <c r="P2" s="37">
        <v>0.02</v>
      </c>
    </row>
    <row r="3" spans="1:18" ht="13.25" hidden="1" customHeight="1" x14ac:dyDescent="0.35">
      <c r="A3" s="15" t="s">
        <v>2</v>
      </c>
      <c r="B3" s="16">
        <f t="shared" ref="B3:P3" si="1">B2</f>
        <v>9.1999999999999998E-2</v>
      </c>
      <c r="C3" s="16">
        <f t="shared" si="1"/>
        <v>3.5000000000000003E-2</v>
      </c>
      <c r="D3" s="16">
        <f t="shared" si="1"/>
        <v>5.1999999999999998E-2</v>
      </c>
      <c r="E3" s="16">
        <f t="shared" si="1"/>
        <v>3.3000000000000002E-2</v>
      </c>
      <c r="F3" s="16">
        <f t="shared" si="1"/>
        <v>2.4E-2</v>
      </c>
      <c r="G3" s="16">
        <f t="shared" si="1"/>
        <v>2.1999999999999999E-2</v>
      </c>
      <c r="H3" s="16">
        <f t="shared" si="1"/>
        <v>0.02</v>
      </c>
      <c r="I3" s="16">
        <f t="shared" si="1"/>
        <v>0.02</v>
      </c>
      <c r="J3" s="16">
        <f t="shared" si="1"/>
        <v>0.02</v>
      </c>
      <c r="K3" s="16">
        <f t="shared" si="1"/>
        <v>0.02</v>
      </c>
      <c r="L3" s="16">
        <f t="shared" si="1"/>
        <v>0.02</v>
      </c>
      <c r="M3" s="16">
        <f t="shared" si="1"/>
        <v>0.02</v>
      </c>
      <c r="N3" s="16">
        <f t="shared" si="1"/>
        <v>0.02</v>
      </c>
      <c r="O3" s="16">
        <f t="shared" si="1"/>
        <v>0.02</v>
      </c>
      <c r="P3" s="16">
        <f t="shared" si="1"/>
        <v>0.02</v>
      </c>
    </row>
    <row r="4" spans="1:18" ht="6.65" customHeigh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8" ht="3.65" customHeight="1" x14ac:dyDescent="0.3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2"/>
      <c r="M5" s="5"/>
      <c r="N5" s="5"/>
      <c r="O5" s="5"/>
      <c r="P5" s="5"/>
    </row>
    <row r="6" spans="1:18" x14ac:dyDescent="0.35">
      <c r="A6" s="38" t="s">
        <v>13</v>
      </c>
      <c r="B6" s="39">
        <f>B14/B11</f>
        <v>0.33029131219386443</v>
      </c>
      <c r="C6" s="39">
        <f>C14/C11</f>
        <v>0.32462742824006963</v>
      </c>
      <c r="D6" s="39">
        <f>C6</f>
        <v>0.32462742824006963</v>
      </c>
      <c r="E6" s="39">
        <f t="shared" ref="E6:P6" si="2">D6*(1+E2)</f>
        <v>0.33534013337199192</v>
      </c>
      <c r="F6" s="39">
        <f t="shared" si="2"/>
        <v>0.34338829657291975</v>
      </c>
      <c r="G6" s="39">
        <f t="shared" si="2"/>
        <v>0.350942839097524</v>
      </c>
      <c r="H6" s="39">
        <f t="shared" si="2"/>
        <v>0.35796169587947446</v>
      </c>
      <c r="I6" s="39">
        <f t="shared" si="2"/>
        <v>0.36512092979706395</v>
      </c>
      <c r="J6" s="39">
        <f t="shared" si="2"/>
        <v>0.37242334839300523</v>
      </c>
      <c r="K6" s="39">
        <f t="shared" si="2"/>
        <v>0.37987181536086534</v>
      </c>
      <c r="L6" s="39">
        <f t="shared" si="2"/>
        <v>0.38746925166808266</v>
      </c>
      <c r="M6" s="39">
        <f t="shared" si="2"/>
        <v>0.3952186367014443</v>
      </c>
      <c r="N6" s="39">
        <f t="shared" si="2"/>
        <v>0.40312300943547319</v>
      </c>
      <c r="O6" s="39">
        <f t="shared" si="2"/>
        <v>0.41118546962418268</v>
      </c>
      <c r="P6" s="39">
        <f t="shared" si="2"/>
        <v>0.41940917901666636</v>
      </c>
    </row>
    <row r="7" spans="1:18" x14ac:dyDescent="0.35">
      <c r="A7" s="38" t="s">
        <v>12</v>
      </c>
      <c r="B7" s="39">
        <f>B15/B12</f>
        <v>0.58029255854525941</v>
      </c>
      <c r="C7" s="39">
        <f>C15/C12</f>
        <v>0.55094970967424461</v>
      </c>
      <c r="D7" s="39">
        <f>C7</f>
        <v>0.55094970967424461</v>
      </c>
      <c r="E7" s="39">
        <f t="shared" ref="E7:P7" si="3">D7*(1+E2)</f>
        <v>0.56913105009349463</v>
      </c>
      <c r="F7" s="39">
        <f t="shared" si="3"/>
        <v>0.5827901952957385</v>
      </c>
      <c r="G7" s="39">
        <f t="shared" si="3"/>
        <v>0.59561157959224476</v>
      </c>
      <c r="H7" s="39">
        <f t="shared" si="3"/>
        <v>0.60752381118408971</v>
      </c>
      <c r="I7" s="39">
        <f t="shared" si="3"/>
        <v>0.61967428740777153</v>
      </c>
      <c r="J7" s="39">
        <f t="shared" si="3"/>
        <v>0.63206777315592699</v>
      </c>
      <c r="K7" s="39">
        <f t="shared" si="3"/>
        <v>0.6447091286190455</v>
      </c>
      <c r="L7" s="39">
        <f t="shared" si="3"/>
        <v>0.65760331119142645</v>
      </c>
      <c r="M7" s="39">
        <f t="shared" si="3"/>
        <v>0.67075537741525504</v>
      </c>
      <c r="N7" s="39">
        <f t="shared" si="3"/>
        <v>0.68417048496356014</v>
      </c>
      <c r="O7" s="39">
        <f t="shared" si="3"/>
        <v>0.69785389466283132</v>
      </c>
      <c r="P7" s="39">
        <f t="shared" si="3"/>
        <v>0.71181097255608794</v>
      </c>
    </row>
    <row r="8" spans="1:18" x14ac:dyDescent="0.35">
      <c r="A8" s="40" t="s">
        <v>1</v>
      </c>
      <c r="B8" s="39">
        <f>B16/B11</f>
        <v>7.9974793045172007E-2</v>
      </c>
      <c r="C8" s="39">
        <f>C16/C11</f>
        <v>8.2589156277181788E-2</v>
      </c>
      <c r="D8" s="39">
        <f t="shared" ref="D8" si="4">C8*(1+D2)</f>
        <v>8.6883792403595242E-2</v>
      </c>
      <c r="E8" s="41">
        <f t="shared" ref="E8" si="5">D8*(1+E2)</f>
        <v>8.9750957552913874E-2</v>
      </c>
      <c r="F8" s="41">
        <f t="shared" ref="F8" si="6">E8*(1+F2)</f>
        <v>9.1904980534183806E-2</v>
      </c>
      <c r="G8" s="41">
        <f t="shared" ref="G8" si="7">F8*(1+G2)</f>
        <v>9.3926890105935856E-2</v>
      </c>
      <c r="H8" s="41">
        <f t="shared" ref="H8" si="8">G8*(1+H2)</f>
        <v>9.5805427908054575E-2</v>
      </c>
      <c r="I8" s="41">
        <f t="shared" ref="I8:P8" si="9">H8*(1+I2)</f>
        <v>9.7721536466215661E-2</v>
      </c>
      <c r="J8" s="41">
        <f t="shared" si="9"/>
        <v>9.9675967195539977E-2</v>
      </c>
      <c r="K8" s="41">
        <f t="shared" si="9"/>
        <v>0.10166948653945078</v>
      </c>
      <c r="L8" s="41">
        <f t="shared" si="9"/>
        <v>0.1037028762702398</v>
      </c>
      <c r="M8" s="41">
        <f t="shared" si="9"/>
        <v>0.1057769337956446</v>
      </c>
      <c r="N8" s="41">
        <f t="shared" si="9"/>
        <v>0.10789247247155749</v>
      </c>
      <c r="O8" s="41">
        <f t="shared" si="9"/>
        <v>0.11005032192098864</v>
      </c>
      <c r="P8" s="41">
        <f t="shared" si="9"/>
        <v>0.11225132835940842</v>
      </c>
    </row>
    <row r="9" spans="1:18" x14ac:dyDescent="0.35">
      <c r="A9" s="40" t="s">
        <v>7</v>
      </c>
      <c r="B9" s="39">
        <f>B17/B12</f>
        <v>5.7236797960142256E-2</v>
      </c>
      <c r="C9" s="39">
        <f>C17/C12</f>
        <v>6.2165797329659156E-2</v>
      </c>
      <c r="D9" s="39">
        <f t="shared" ref="D9:E9" si="10">C9*1.106</f>
        <v>6.8755371846603033E-2</v>
      </c>
      <c r="E9" s="41">
        <f t="shared" si="10"/>
        <v>7.6043441262342956E-2</v>
      </c>
      <c r="F9" s="41">
        <f>E9*1.106</f>
        <v>8.410404603615132E-2</v>
      </c>
      <c r="G9" s="41">
        <f t="shared" ref="G9:P9" si="11">F9*(1+G2)</f>
        <v>8.5954335048946645E-2</v>
      </c>
      <c r="H9" s="41">
        <f t="shared" si="11"/>
        <v>8.7673421749925581E-2</v>
      </c>
      <c r="I9" s="41">
        <f t="shared" si="11"/>
        <v>8.9426890184924099E-2</v>
      </c>
      <c r="J9" s="41">
        <f t="shared" si="11"/>
        <v>9.1215427988622588E-2</v>
      </c>
      <c r="K9" s="41">
        <f t="shared" si="11"/>
        <v>9.3039736548395036E-2</v>
      </c>
      <c r="L9" s="41">
        <f t="shared" si="11"/>
        <v>9.4900531279362932E-2</v>
      </c>
      <c r="M9" s="41">
        <f t="shared" si="11"/>
        <v>9.6798541904950186E-2</v>
      </c>
      <c r="N9" s="41">
        <f t="shared" si="11"/>
        <v>9.8734512743049188E-2</v>
      </c>
      <c r="O9" s="41">
        <f t="shared" si="11"/>
        <v>0.10070920299791017</v>
      </c>
      <c r="P9" s="41">
        <f t="shared" si="11"/>
        <v>0.10272338705786838</v>
      </c>
    </row>
    <row r="10" spans="1:18" x14ac:dyDescent="0.35">
      <c r="A10" s="29" t="s">
        <v>3</v>
      </c>
      <c r="B10" s="18"/>
      <c r="C10" s="10"/>
      <c r="D10" s="10"/>
      <c r="E10" s="2"/>
      <c r="F10" s="2"/>
      <c r="G10" s="2"/>
      <c r="H10" s="2"/>
      <c r="I10" s="2"/>
      <c r="J10" s="2"/>
      <c r="K10" s="2"/>
      <c r="L10" s="2"/>
      <c r="M10" s="5"/>
      <c r="N10" s="5"/>
      <c r="O10" s="5"/>
      <c r="P10" s="5"/>
      <c r="R10" s="17"/>
    </row>
    <row r="11" spans="1:18" x14ac:dyDescent="0.35">
      <c r="A11" s="42" t="s">
        <v>39</v>
      </c>
      <c r="B11" s="43">
        <v>69822</v>
      </c>
      <c r="C11" s="43">
        <v>68980</v>
      </c>
      <c r="D11" s="43">
        <v>68606.322908171001</v>
      </c>
      <c r="E11" s="43">
        <v>68211.780598016543</v>
      </c>
      <c r="F11" s="43">
        <v>67811.547773773316</v>
      </c>
      <c r="G11" s="43">
        <v>68100.809417385462</v>
      </c>
      <c r="H11" s="43">
        <v>70157.162925586323</v>
      </c>
      <c r="I11" s="43">
        <v>70421.383371712771</v>
      </c>
      <c r="J11" s="43">
        <v>70581.725182964743</v>
      </c>
      <c r="K11" s="43">
        <v>70140.934230667015</v>
      </c>
      <c r="L11" s="43">
        <v>69809.164417303298</v>
      </c>
      <c r="M11" s="43">
        <v>69600.121553551333</v>
      </c>
      <c r="N11" s="43">
        <v>69171.301105308812</v>
      </c>
      <c r="O11" s="43">
        <v>68750.727204147872</v>
      </c>
      <c r="P11" s="43">
        <v>68328.091666216555</v>
      </c>
      <c r="Q11" s="17"/>
      <c r="R11" s="17"/>
    </row>
    <row r="12" spans="1:18" x14ac:dyDescent="0.35">
      <c r="A12" s="38" t="s">
        <v>25</v>
      </c>
      <c r="B12" s="6">
        <v>59612</v>
      </c>
      <c r="C12" s="6">
        <v>60966</v>
      </c>
      <c r="D12" s="6">
        <f>(D14+D16)/(1-D13)</f>
        <v>28232.271683814877</v>
      </c>
      <c r="E12" s="6">
        <f t="shared" ref="E12:P12" si="12">(E14+E16)/(1-E13)</f>
        <v>28996.220228341175</v>
      </c>
      <c r="F12" s="6">
        <f t="shared" si="12"/>
        <v>29517.910856150698</v>
      </c>
      <c r="G12" s="6">
        <f t="shared" si="12"/>
        <v>30295.988644048699</v>
      </c>
      <c r="H12" s="6">
        <f t="shared" si="12"/>
        <v>31835.014033836371</v>
      </c>
      <c r="I12" s="6">
        <f t="shared" si="12"/>
        <v>32594.006757435447</v>
      </c>
      <c r="J12" s="6">
        <f t="shared" si="12"/>
        <v>33321.58415193644</v>
      </c>
      <c r="K12" s="6">
        <f t="shared" si="12"/>
        <v>33775.75678593984</v>
      </c>
      <c r="L12" s="6">
        <f t="shared" si="12"/>
        <v>34288.315836443086</v>
      </c>
      <c r="M12" s="6">
        <f t="shared" si="12"/>
        <v>34869.352604388187</v>
      </c>
      <c r="N12" s="6">
        <f t="shared" si="12"/>
        <v>35347.605768465706</v>
      </c>
      <c r="O12" s="6">
        <f t="shared" si="12"/>
        <v>35835.339713560155</v>
      </c>
      <c r="P12" s="6">
        <f t="shared" si="12"/>
        <v>36327.347883299641</v>
      </c>
    </row>
    <row r="13" spans="1:18" x14ac:dyDescent="0.35">
      <c r="A13" s="1" t="s">
        <v>4</v>
      </c>
      <c r="B13" s="25"/>
      <c r="C13" s="10"/>
      <c r="D13" s="10"/>
      <c r="E13" s="2"/>
      <c r="F13" s="2"/>
      <c r="G13" s="2"/>
      <c r="H13" s="2"/>
      <c r="I13" s="2"/>
      <c r="J13" s="2"/>
      <c r="K13" s="2"/>
      <c r="L13" s="2"/>
      <c r="M13" s="5"/>
      <c r="N13" s="5"/>
      <c r="O13" s="5"/>
      <c r="P13" s="5"/>
    </row>
    <row r="14" spans="1:18" x14ac:dyDescent="0.35">
      <c r="A14" s="38" t="s">
        <v>13</v>
      </c>
      <c r="B14" s="6">
        <f>0.4*57654</f>
        <v>23061.600000000002</v>
      </c>
      <c r="C14" s="6">
        <f>0.4*55982</f>
        <v>22392.800000000003</v>
      </c>
      <c r="D14" s="6">
        <f t="shared" ref="D14" si="13">D6*D11</f>
        <v>22271.494166687327</v>
      </c>
      <c r="E14" s="6">
        <f t="shared" ref="E14:N14" si="14">E6*E11</f>
        <v>22874.147603279918</v>
      </c>
      <c r="F14" s="6">
        <f t="shared" si="14"/>
        <v>23285.691878009187</v>
      </c>
      <c r="G14" s="6">
        <f t="shared" si="14"/>
        <v>23899.491401776653</v>
      </c>
      <c r="H14" s="6">
        <f t="shared" si="14"/>
        <v>25113.577018935473</v>
      </c>
      <c r="I14" s="6">
        <f t="shared" si="14"/>
        <v>25712.320974275266</v>
      </c>
      <c r="J14" s="6">
        <f t="shared" si="14"/>
        <v>26286.282427994629</v>
      </c>
      <c r="K14" s="6">
        <f t="shared" si="14"/>
        <v>26644.564017310538</v>
      </c>
      <c r="L14" s="6">
        <f t="shared" si="14"/>
        <v>27048.904696346654</v>
      </c>
      <c r="M14" s="6">
        <f t="shared" si="14"/>
        <v>27507.265154649369</v>
      </c>
      <c r="N14" s="6">
        <f t="shared" si="14"/>
        <v>27884.543068139363</v>
      </c>
      <c r="O14" s="6">
        <f t="shared" ref="O14" si="15">O6*O11</f>
        <v>28269.300052441613</v>
      </c>
      <c r="P14" s="6">
        <f t="shared" ref="P14" si="16">P6*P11</f>
        <v>28657.428829503406</v>
      </c>
    </row>
    <row r="15" spans="1:18" x14ac:dyDescent="0.35">
      <c r="A15" s="38" t="s">
        <v>12</v>
      </c>
      <c r="B15" s="6">
        <f>0.6*57654</f>
        <v>34592.400000000001</v>
      </c>
      <c r="C15" s="6">
        <f>0.6*55982</f>
        <v>33589.199999999997</v>
      </c>
      <c r="D15" s="6">
        <f t="shared" ref="D15" si="17">D7*D12</f>
        <v>15554.561887642203</v>
      </c>
      <c r="E15" s="6">
        <f t="shared" ref="E15:N15" si="18">E7*E12</f>
        <v>16502.649267298042</v>
      </c>
      <c r="F15" s="6">
        <f t="shared" si="18"/>
        <v>17202.749032578264</v>
      </c>
      <c r="G15" s="6">
        <f t="shared" si="18"/>
        <v>18044.641651590555</v>
      </c>
      <c r="H15" s="6">
        <f t="shared" si="18"/>
        <v>19340.529054935254</v>
      </c>
      <c r="I15" s="6">
        <f t="shared" si="18"/>
        <v>20197.667911177901</v>
      </c>
      <c r="J15" s="6">
        <f t="shared" si="18"/>
        <v>21061.499492942294</v>
      </c>
      <c r="K15" s="6">
        <f t="shared" si="18"/>
        <v>21775.538725912087</v>
      </c>
      <c r="L15" s="6">
        <f t="shared" si="18"/>
        <v>22548.1100292224</v>
      </c>
      <c r="M15" s="6">
        <f t="shared" si="18"/>
        <v>23388.805766382004</v>
      </c>
      <c r="N15" s="6">
        <f t="shared" si="18"/>
        <v>24183.788580911918</v>
      </c>
      <c r="O15" s="6">
        <f t="shared" ref="O15" si="19">O7*O12</f>
        <v>25007.831385673584</v>
      </c>
      <c r="P15" s="6">
        <f t="shared" ref="P15" si="20">P7*P12</f>
        <v>25858.204827194859</v>
      </c>
      <c r="R15" s="12"/>
    </row>
    <row r="16" spans="1:18" x14ac:dyDescent="0.35">
      <c r="A16" s="40" t="s">
        <v>1</v>
      </c>
      <c r="B16" s="6">
        <v>5584</v>
      </c>
      <c r="C16" s="6">
        <v>5697</v>
      </c>
      <c r="D16" s="6">
        <f t="shared" ref="D16:N16" si="21">D11*D8</f>
        <v>5960.7775171275498</v>
      </c>
      <c r="E16" s="44">
        <f t="shared" si="21"/>
        <v>6122.072625061257</v>
      </c>
      <c r="F16" s="44">
        <f t="shared" si="21"/>
        <v>6232.2189781415118</v>
      </c>
      <c r="G16" s="44">
        <f t="shared" si="21"/>
        <v>6396.4972422720457</v>
      </c>
      <c r="H16" s="44">
        <f t="shared" si="21"/>
        <v>6721.4370149008992</v>
      </c>
      <c r="I16" s="44">
        <f t="shared" si="21"/>
        <v>6881.6857831601828</v>
      </c>
      <c r="J16" s="44">
        <f t="shared" si="21"/>
        <v>7035.3017239418114</v>
      </c>
      <c r="K16" s="44">
        <f t="shared" si="21"/>
        <v>7131.1927686293029</v>
      </c>
      <c r="L16" s="44">
        <f t="shared" si="21"/>
        <v>7239.4111400964312</v>
      </c>
      <c r="M16" s="44">
        <f t="shared" si="21"/>
        <v>7362.0874497388158</v>
      </c>
      <c r="N16" s="44">
        <f t="shared" si="21"/>
        <v>7463.0627003263453</v>
      </c>
      <c r="O16" s="44">
        <f t="shared" ref="O16" si="22">O11*O8</f>
        <v>7566.0396611185442</v>
      </c>
      <c r="P16" s="44">
        <f t="shared" ref="P16" si="23">P11*P8</f>
        <v>7669.9190537962322</v>
      </c>
    </row>
    <row r="17" spans="1:18" x14ac:dyDescent="0.35">
      <c r="A17" s="40" t="s">
        <v>7</v>
      </c>
      <c r="B17" s="6">
        <v>3412</v>
      </c>
      <c r="C17" s="6">
        <v>3790</v>
      </c>
      <c r="D17" s="6">
        <f t="shared" ref="D17:N17" si="24">D9*D12</f>
        <v>1941.1203376950134</v>
      </c>
      <c r="E17" s="44">
        <f t="shared" si="24"/>
        <v>2204.9723697638228</v>
      </c>
      <c r="F17" s="44">
        <f t="shared" si="24"/>
        <v>2482.5757335367093</v>
      </c>
      <c r="G17" s="44">
        <f t="shared" si="24"/>
        <v>2604.0715585496446</v>
      </c>
      <c r="H17" s="44">
        <f t="shared" si="24"/>
        <v>2791.084611803336</v>
      </c>
      <c r="I17" s="44">
        <f t="shared" si="24"/>
        <v>2914.7806629838537</v>
      </c>
      <c r="J17" s="44">
        <f t="shared" si="24"/>
        <v>3039.442559677786</v>
      </c>
      <c r="K17" s="44">
        <f t="shared" si="24"/>
        <v>3142.4875130865084</v>
      </c>
      <c r="L17" s="44">
        <f t="shared" si="24"/>
        <v>3253.9793895530424</v>
      </c>
      <c r="M17" s="44">
        <f t="shared" si="24"/>
        <v>3375.3024892743538</v>
      </c>
      <c r="N17" s="44">
        <f t="shared" si="24"/>
        <v>3490.0286321828562</v>
      </c>
      <c r="O17" s="44">
        <f t="shared" ref="O17" si="25">O9*O12</f>
        <v>3608.9485017120019</v>
      </c>
      <c r="P17" s="44">
        <f t="shared" ref="P17" si="26">P9*P12</f>
        <v>3731.6682174020243</v>
      </c>
    </row>
    <row r="18" spans="1:18" x14ac:dyDescent="0.35">
      <c r="A18" s="1" t="s">
        <v>5</v>
      </c>
      <c r="B18" s="1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5"/>
      <c r="P18" s="5"/>
    </row>
    <row r="19" spans="1:18" x14ac:dyDescent="0.35">
      <c r="A19" s="40" t="s">
        <v>6</v>
      </c>
      <c r="B19" s="6">
        <v>73103</v>
      </c>
      <c r="C19" s="44">
        <v>57154</v>
      </c>
      <c r="D19" s="44">
        <f t="shared" ref="D19:P19" si="27">C19*(1+D3)</f>
        <v>60126.008000000002</v>
      </c>
      <c r="E19" s="44">
        <f t="shared" si="27"/>
        <v>62110.166264</v>
      </c>
      <c r="F19" s="44">
        <f t="shared" si="27"/>
        <v>63600.810254336</v>
      </c>
      <c r="G19" s="44">
        <f t="shared" si="27"/>
        <v>65000.028079931391</v>
      </c>
      <c r="H19" s="44">
        <f t="shared" si="27"/>
        <v>66300.028641530022</v>
      </c>
      <c r="I19" s="44">
        <f t="shared" si="27"/>
        <v>67626.02921436062</v>
      </c>
      <c r="J19" s="44">
        <f t="shared" si="27"/>
        <v>68978.549798647829</v>
      </c>
      <c r="K19" s="44">
        <f t="shared" si="27"/>
        <v>70358.120794620787</v>
      </c>
      <c r="L19" s="44">
        <f t="shared" si="27"/>
        <v>71765.283210513211</v>
      </c>
      <c r="M19" s="44">
        <f t="shared" si="27"/>
        <v>73200.588874723471</v>
      </c>
      <c r="N19" s="44">
        <f>M19*(1+N3)</f>
        <v>74664.600652217938</v>
      </c>
      <c r="O19" s="44">
        <f>N19*(1+O3)</f>
        <v>76157.892665262305</v>
      </c>
      <c r="P19" s="44">
        <f t="shared" si="27"/>
        <v>77681.050518567557</v>
      </c>
    </row>
    <row r="20" spans="1:18" x14ac:dyDescent="0.35">
      <c r="A20" s="40" t="s">
        <v>28</v>
      </c>
      <c r="B20" s="6">
        <f>26724*0.4</f>
        <v>10689.6</v>
      </c>
      <c r="C20" s="6">
        <f>38840*0.4</f>
        <v>15536</v>
      </c>
      <c r="D20" s="44">
        <f t="shared" ref="D20:N20" si="28">C20*(1+D2)</f>
        <v>16343.872000000001</v>
      </c>
      <c r="E20" s="44">
        <f t="shared" si="28"/>
        <v>16883.219776000002</v>
      </c>
      <c r="F20" s="44">
        <f t="shared" si="28"/>
        <v>17288.417050624001</v>
      </c>
      <c r="G20" s="44">
        <f t="shared" si="28"/>
        <v>17668.76222573773</v>
      </c>
      <c r="H20" s="44">
        <f t="shared" si="28"/>
        <v>18022.137470252484</v>
      </c>
      <c r="I20" s="44">
        <f t="shared" si="28"/>
        <v>18382.580219657535</v>
      </c>
      <c r="J20" s="44">
        <f t="shared" si="28"/>
        <v>18750.231824050687</v>
      </c>
      <c r="K20" s="44">
        <f t="shared" si="28"/>
        <v>19125.236460531702</v>
      </c>
      <c r="L20" s="44">
        <f t="shared" si="28"/>
        <v>19507.741189742337</v>
      </c>
      <c r="M20" s="44">
        <f t="shared" si="28"/>
        <v>19897.896013537185</v>
      </c>
      <c r="N20" s="44">
        <f t="shared" si="28"/>
        <v>20295.853933807928</v>
      </c>
      <c r="O20" s="44">
        <f>N20*(1+O2)</f>
        <v>20701.771012484089</v>
      </c>
      <c r="P20" s="44">
        <f>O20*(1+P2)</f>
        <v>21115.806432733771</v>
      </c>
    </row>
    <row r="21" spans="1:18" x14ac:dyDescent="0.35">
      <c r="A21" s="40" t="s">
        <v>29</v>
      </c>
      <c r="B21" s="6">
        <f>26724*0.6</f>
        <v>16034.4</v>
      </c>
      <c r="C21" s="6">
        <f>38840*0.6</f>
        <v>23304</v>
      </c>
      <c r="D21" s="44">
        <f>C21*(1+D2)</f>
        <v>24515.808000000001</v>
      </c>
      <c r="E21" s="44">
        <f>D21*(1+E2)</f>
        <v>25324.829663999997</v>
      </c>
      <c r="F21" s="44">
        <f>E21*(1+F2)</f>
        <v>25932.625575935999</v>
      </c>
      <c r="G21" s="44">
        <f>F21*(1+G2)</f>
        <v>26503.143338606591</v>
      </c>
      <c r="H21" s="44">
        <f>G21*(1+H3)</f>
        <v>27033.206205378723</v>
      </c>
      <c r="I21" s="44">
        <f t="shared" ref="I21:P21" si="29">H21*(1+I2)</f>
        <v>27573.870329486297</v>
      </c>
      <c r="J21" s="44">
        <f t="shared" si="29"/>
        <v>28125.347736076023</v>
      </c>
      <c r="K21" s="44">
        <f t="shared" si="29"/>
        <v>28687.854690797543</v>
      </c>
      <c r="L21" s="44">
        <f t="shared" si="29"/>
        <v>29261.611784613495</v>
      </c>
      <c r="M21" s="44">
        <f t="shared" si="29"/>
        <v>29846.844020305765</v>
      </c>
      <c r="N21" s="44">
        <f>M21*(1+N2)</f>
        <v>30443.780900711881</v>
      </c>
      <c r="O21" s="44">
        <f>N21*(1+O2)</f>
        <v>31052.656518726119</v>
      </c>
      <c r="P21" s="44">
        <f t="shared" si="29"/>
        <v>31673.709649100641</v>
      </c>
    </row>
    <row r="22" spans="1:18" x14ac:dyDescent="0.35">
      <c r="A22" s="40" t="s">
        <v>49</v>
      </c>
      <c r="B22" s="6">
        <v>3075</v>
      </c>
      <c r="C22" s="44">
        <v>2889</v>
      </c>
      <c r="D22" s="44">
        <f t="shared" ref="D22:P22" si="30">C22*(1+D2)</f>
        <v>3039.2280000000001</v>
      </c>
      <c r="E22" s="44">
        <f t="shared" si="30"/>
        <v>3139.522524</v>
      </c>
      <c r="F22" s="44">
        <f t="shared" si="30"/>
        <v>3214.8710645760002</v>
      </c>
      <c r="G22" s="44">
        <f t="shared" si="30"/>
        <v>3285.5982279966724</v>
      </c>
      <c r="H22" s="44">
        <f t="shared" si="30"/>
        <v>3351.3101925566061</v>
      </c>
      <c r="I22" s="44">
        <f t="shared" si="30"/>
        <v>3418.3363964077384</v>
      </c>
      <c r="J22" s="44">
        <f t="shared" si="30"/>
        <v>3486.7031243358933</v>
      </c>
      <c r="K22" s="44">
        <f t="shared" si="30"/>
        <v>3556.4371868226112</v>
      </c>
      <c r="L22" s="44">
        <f t="shared" si="30"/>
        <v>3627.5659305590634</v>
      </c>
      <c r="M22" s="44">
        <f t="shared" si="30"/>
        <v>3700.1172491702446</v>
      </c>
      <c r="N22" s="44">
        <f t="shared" si="30"/>
        <v>3774.1195941536494</v>
      </c>
      <c r="O22" s="44">
        <f t="shared" si="30"/>
        <v>3849.6019860367223</v>
      </c>
      <c r="P22" s="44">
        <f t="shared" si="30"/>
        <v>3926.5940257574571</v>
      </c>
    </row>
    <row r="23" spans="1:18" x14ac:dyDescent="0.35">
      <c r="A23" s="40" t="s">
        <v>27</v>
      </c>
      <c r="B23" s="6">
        <v>10348</v>
      </c>
      <c r="C23" s="44">
        <v>9597</v>
      </c>
      <c r="D23" s="44">
        <f t="shared" ref="D23:P23" si="31">C23*(1+D2)</f>
        <v>10096.044</v>
      </c>
      <c r="E23" s="44">
        <f t="shared" si="31"/>
        <v>10429.213451999998</v>
      </c>
      <c r="F23" s="44">
        <f t="shared" si="31"/>
        <v>10679.514574847999</v>
      </c>
      <c r="G23" s="44">
        <f t="shared" si="31"/>
        <v>10914.463895494655</v>
      </c>
      <c r="H23" s="44">
        <f t="shared" si="31"/>
        <v>11132.753173404548</v>
      </c>
      <c r="I23" s="44">
        <f t="shared" si="31"/>
        <v>11355.408236872639</v>
      </c>
      <c r="J23" s="44">
        <f t="shared" si="31"/>
        <v>11582.516401610092</v>
      </c>
      <c r="K23" s="44">
        <f t="shared" si="31"/>
        <v>11814.166729642293</v>
      </c>
      <c r="L23" s="44">
        <f t="shared" si="31"/>
        <v>12050.45006423514</v>
      </c>
      <c r="M23" s="44">
        <f t="shared" si="31"/>
        <v>12291.459065519843</v>
      </c>
      <c r="N23" s="44">
        <f t="shared" si="31"/>
        <v>12537.28824683024</v>
      </c>
      <c r="O23" s="44">
        <f t="shared" si="31"/>
        <v>12788.034011766844</v>
      </c>
      <c r="P23" s="44">
        <f t="shared" si="31"/>
        <v>13043.79469200218</v>
      </c>
    </row>
    <row r="24" spans="1:18" ht="8.25" customHeight="1" x14ac:dyDescent="0.35">
      <c r="A24" s="4"/>
      <c r="B24" s="18"/>
      <c r="C24" s="2"/>
      <c r="D24" s="2"/>
      <c r="E24" s="2"/>
      <c r="F24" s="2"/>
      <c r="G24" s="2"/>
      <c r="H24" s="2"/>
      <c r="I24" s="2"/>
      <c r="J24" s="2"/>
      <c r="K24" s="2"/>
      <c r="L24" s="2"/>
      <c r="M24" s="5"/>
      <c r="N24" s="5"/>
      <c r="O24" s="5"/>
      <c r="P24" s="5"/>
    </row>
    <row r="25" spans="1:18" x14ac:dyDescent="0.35">
      <c r="A25" s="45" t="s">
        <v>40</v>
      </c>
      <c r="B25" s="34">
        <f t="shared" ref="B25:P25" si="32">SUM(B14:B17)+SUM(B19:B23)</f>
        <v>179900</v>
      </c>
      <c r="C25" s="34">
        <f t="shared" si="32"/>
        <v>173949</v>
      </c>
      <c r="D25" s="34">
        <f t="shared" si="32"/>
        <v>159848.91390915209</v>
      </c>
      <c r="E25" s="34">
        <f t="shared" si="32"/>
        <v>165590.79354540305</v>
      </c>
      <c r="F25" s="34">
        <f t="shared" si="32"/>
        <v>169919.47414258568</v>
      </c>
      <c r="G25" s="34">
        <f t="shared" si="32"/>
        <v>174316.69762195594</v>
      </c>
      <c r="H25" s="34">
        <f t="shared" si="32"/>
        <v>179806.06338369736</v>
      </c>
      <c r="I25" s="34">
        <f t="shared" si="32"/>
        <v>184062.67972838203</v>
      </c>
      <c r="J25" s="34">
        <f t="shared" si="32"/>
        <v>188345.87508927705</v>
      </c>
      <c r="K25" s="34">
        <f t="shared" si="32"/>
        <v>192235.59888735338</v>
      </c>
      <c r="L25" s="34">
        <f t="shared" si="32"/>
        <v>196303.05743488178</v>
      </c>
      <c r="M25" s="34">
        <f t="shared" si="32"/>
        <v>200570.36608330108</v>
      </c>
      <c r="N25" s="34">
        <f t="shared" si="32"/>
        <v>204737.06630928209</v>
      </c>
      <c r="O25" s="34">
        <f t="shared" si="32"/>
        <v>209002.07579522181</v>
      </c>
      <c r="P25" s="34">
        <f t="shared" si="32"/>
        <v>213358.17624605814</v>
      </c>
      <c r="R25" s="12"/>
    </row>
    <row r="26" spans="1:18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8" x14ac:dyDescent="0.35">
      <c r="A27" s="45" t="s">
        <v>30</v>
      </c>
      <c r="B27" s="6">
        <v>74873</v>
      </c>
      <c r="C27" s="6">
        <v>75741</v>
      </c>
      <c r="D27" s="6">
        <v>77190.28839999999</v>
      </c>
      <c r="E27" s="6">
        <v>81543.75039999999</v>
      </c>
      <c r="F27" s="6">
        <v>82399.884271999996</v>
      </c>
      <c r="G27" s="6">
        <v>95741.577822591993</v>
      </c>
      <c r="H27" s="6">
        <v>111141.08413926502</v>
      </c>
      <c r="I27" s="6">
        <v>119323.1809870174</v>
      </c>
      <c r="J27" s="6">
        <v>149958.43623967236</v>
      </c>
      <c r="K27" s="6">
        <v>152259.94197041803</v>
      </c>
      <c r="L27" s="6">
        <v>161874.16036170837</v>
      </c>
      <c r="M27" s="6">
        <v>171516.4692927631</v>
      </c>
      <c r="N27" s="6">
        <v>171516.4692927631</v>
      </c>
      <c r="O27" s="6">
        <v>171516.4692927631</v>
      </c>
      <c r="P27" s="6">
        <v>171516.4692927631</v>
      </c>
    </row>
    <row r="28" spans="1:18" x14ac:dyDescent="0.35">
      <c r="A28" s="38" t="s">
        <v>32</v>
      </c>
      <c r="B28" s="6">
        <v>1946449</v>
      </c>
      <c r="C28" s="6">
        <v>1875136</v>
      </c>
      <c r="D28" s="6">
        <v>1852385.3270999999</v>
      </c>
      <c r="E28" s="6">
        <v>1959870.7885887998</v>
      </c>
      <c r="F28" s="6">
        <v>2368210.0983878244</v>
      </c>
      <c r="G28" s="6">
        <v>2839037.355610555</v>
      </c>
      <c r="H28" s="6">
        <v>3029652.0706237722</v>
      </c>
      <c r="I28" s="6">
        <v>4038505.7258190718</v>
      </c>
      <c r="J28" s="6">
        <v>3976176.4894201271</v>
      </c>
      <c r="K28" s="6">
        <v>4182332.2339626374</v>
      </c>
      <c r="L28" s="6">
        <v>4381853.1782304263</v>
      </c>
      <c r="M28" s="6">
        <v>4219390.3964814376</v>
      </c>
      <c r="N28" s="6">
        <v>4059286.4979403429</v>
      </c>
      <c r="O28" s="6">
        <v>3901477.3209838858</v>
      </c>
      <c r="P28" s="6">
        <v>3745900.4491849639</v>
      </c>
    </row>
    <row r="29" spans="1:18" x14ac:dyDescent="0.35">
      <c r="A29" s="38" t="s">
        <v>41</v>
      </c>
      <c r="B29" s="6">
        <f>(258.062+254.052+251.558)*1000/3*0.05</f>
        <v>12727.866666666669</v>
      </c>
      <c r="C29" s="6">
        <f>(254.052+251.558+B61/1000)*1000/3*0.05</f>
        <v>12526.763833333333</v>
      </c>
      <c r="D29" s="6">
        <f>(251.558+(B48+59)/1000+(C48+C50)/1000)*1000/3*0.05</f>
        <v>11640.908333333333</v>
      </c>
      <c r="E29" s="6">
        <f>(B48+B50+C48+C50+D48+D50)/3*0.05</f>
        <v>10479.6759116906</v>
      </c>
      <c r="F29" s="6">
        <f t="shared" ref="F29:P29" si="33">(C48+C50+D48+D50+E48+E50)/3*0.05</f>
        <v>12549.97462018636</v>
      </c>
      <c r="G29" s="6">
        <f t="shared" si="33"/>
        <v>15848.012091038083</v>
      </c>
      <c r="H29" s="6">
        <f t="shared" si="33"/>
        <v>20326.769277693253</v>
      </c>
      <c r="I29" s="6">
        <f t="shared" si="33"/>
        <v>22176.694792180289</v>
      </c>
      <c r="J29" s="6">
        <f t="shared" si="33"/>
        <v>24776.050108741514</v>
      </c>
      <c r="K29" s="6">
        <f t="shared" si="33"/>
        <v>27103.69053210433</v>
      </c>
      <c r="L29" s="6">
        <f t="shared" si="33"/>
        <v>29202.637703213899</v>
      </c>
      <c r="M29" s="6">
        <f t="shared" si="33"/>
        <v>30475.198918117043</v>
      </c>
      <c r="N29" s="6">
        <f t="shared" si="33"/>
        <v>31292.808542333165</v>
      </c>
      <c r="O29" s="6">
        <f t="shared" si="33"/>
        <v>31693.323457152368</v>
      </c>
      <c r="P29" s="6">
        <f t="shared" si="33"/>
        <v>31562.865857956684</v>
      </c>
    </row>
    <row r="30" spans="1:18" x14ac:dyDescent="0.35">
      <c r="A30" s="45" t="s">
        <v>31</v>
      </c>
      <c r="B30" s="34">
        <f>0.0628*(B28+B29)</f>
        <v>123036.30722666666</v>
      </c>
      <c r="C30" s="34">
        <f>0.0628*(C28+C29)</f>
        <v>118545.22156873332</v>
      </c>
      <c r="D30" s="34">
        <f>0.0628*(D28+D29)</f>
        <v>117060.84758521333</v>
      </c>
      <c r="E30" s="34">
        <f t="shared" ref="E30:O30" si="34">0.0628*E28</f>
        <v>123079.88552337661</v>
      </c>
      <c r="F30" s="34">
        <f t="shared" si="34"/>
        <v>148723.59417875536</v>
      </c>
      <c r="G30" s="34">
        <f t="shared" si="34"/>
        <v>178291.54593234285</v>
      </c>
      <c r="H30" s="34">
        <f t="shared" si="34"/>
        <v>190262.15003517288</v>
      </c>
      <c r="I30" s="34">
        <f t="shared" si="34"/>
        <v>253618.15958143768</v>
      </c>
      <c r="J30" s="34">
        <f t="shared" si="34"/>
        <v>249703.88353558397</v>
      </c>
      <c r="K30" s="34">
        <f t="shared" si="34"/>
        <v>262650.46429285361</v>
      </c>
      <c r="L30" s="34">
        <f t="shared" si="34"/>
        <v>275180.37959287077</v>
      </c>
      <c r="M30" s="34">
        <f t="shared" si="34"/>
        <v>264977.71689903428</v>
      </c>
      <c r="N30" s="34">
        <f t="shared" si="34"/>
        <v>254923.19207065352</v>
      </c>
      <c r="O30" s="34">
        <f t="shared" si="34"/>
        <v>245012.77575778801</v>
      </c>
      <c r="P30" s="34">
        <f t="shared" ref="P30" si="35">0.0628*P28</f>
        <v>235242.54820881572</v>
      </c>
    </row>
    <row r="31" spans="1:18" x14ac:dyDescent="0.35">
      <c r="A31" s="10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</row>
    <row r="32" spans="1:18" x14ac:dyDescent="0.35">
      <c r="A32" s="45" t="s">
        <v>50</v>
      </c>
      <c r="B32" s="34">
        <f>B25+B27+B30</f>
        <v>377809.30722666666</v>
      </c>
      <c r="C32" s="34">
        <f>C25+C27+C30</f>
        <v>368235.22156873334</v>
      </c>
      <c r="D32" s="34">
        <f t="shared" ref="D32:O32" si="36">D25+D27+D30</f>
        <v>354100.04989436542</v>
      </c>
      <c r="E32" s="34">
        <f t="shared" si="36"/>
        <v>370214.42946877965</v>
      </c>
      <c r="F32" s="34">
        <f t="shared" si="36"/>
        <v>401042.952593341</v>
      </c>
      <c r="G32" s="34">
        <f t="shared" si="36"/>
        <v>448349.82137689076</v>
      </c>
      <c r="H32" s="34">
        <f t="shared" si="36"/>
        <v>481209.29755813524</v>
      </c>
      <c r="I32" s="34">
        <f t="shared" si="36"/>
        <v>557004.02029683709</v>
      </c>
      <c r="J32" s="34">
        <f t="shared" si="36"/>
        <v>588008.19486453338</v>
      </c>
      <c r="K32" s="34">
        <f t="shared" si="36"/>
        <v>607146.00515062502</v>
      </c>
      <c r="L32" s="34">
        <f t="shared" si="36"/>
        <v>633357.59738946101</v>
      </c>
      <c r="M32" s="34">
        <f t="shared" si="36"/>
        <v>637064.55227509839</v>
      </c>
      <c r="N32" s="34">
        <f t="shared" si="36"/>
        <v>631176.72767269867</v>
      </c>
      <c r="O32" s="34">
        <f t="shared" si="36"/>
        <v>625531.32084577286</v>
      </c>
      <c r="P32" s="34">
        <f t="shared" ref="P32" si="37">P25+P27+P30</f>
        <v>620117.19374763698</v>
      </c>
    </row>
    <row r="33" spans="1:16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35">
      <c r="A34" s="8" t="s">
        <v>38</v>
      </c>
      <c r="B34" s="13">
        <v>2023</v>
      </c>
      <c r="C34" s="13">
        <f t="shared" ref="C34:P34" si="38">B34+1</f>
        <v>2024</v>
      </c>
      <c r="D34" s="13">
        <f t="shared" si="38"/>
        <v>2025</v>
      </c>
      <c r="E34" s="13">
        <f t="shared" si="38"/>
        <v>2026</v>
      </c>
      <c r="F34" s="13">
        <f t="shared" si="38"/>
        <v>2027</v>
      </c>
      <c r="G34" s="13">
        <f t="shared" si="38"/>
        <v>2028</v>
      </c>
      <c r="H34" s="13">
        <f t="shared" si="38"/>
        <v>2029</v>
      </c>
      <c r="I34" s="13">
        <f t="shared" si="38"/>
        <v>2030</v>
      </c>
      <c r="J34" s="13">
        <f t="shared" si="38"/>
        <v>2031</v>
      </c>
      <c r="K34" s="13">
        <f t="shared" si="38"/>
        <v>2032</v>
      </c>
      <c r="L34" s="13">
        <f t="shared" si="38"/>
        <v>2033</v>
      </c>
      <c r="M34" s="13">
        <f t="shared" si="38"/>
        <v>2034</v>
      </c>
      <c r="N34" s="13">
        <f t="shared" si="38"/>
        <v>2035</v>
      </c>
      <c r="O34" s="13">
        <f t="shared" si="38"/>
        <v>2036</v>
      </c>
      <c r="P34" s="13">
        <f t="shared" si="38"/>
        <v>2037</v>
      </c>
    </row>
    <row r="35" spans="1:16" x14ac:dyDescent="0.35">
      <c r="A35" s="45" t="s">
        <v>8</v>
      </c>
      <c r="B35" s="34">
        <f t="shared" ref="B35:P35" si="39">SUM(B36:B37)</f>
        <v>62940</v>
      </c>
      <c r="C35" s="34">
        <f t="shared" si="39"/>
        <v>62910</v>
      </c>
      <c r="D35" s="6">
        <f t="shared" si="39"/>
        <v>62569.205192128698</v>
      </c>
      <c r="E35" s="6">
        <f t="shared" si="39"/>
        <v>62209.381232548862</v>
      </c>
      <c r="F35" s="6">
        <f t="shared" si="39"/>
        <v>61844.367504321242</v>
      </c>
      <c r="G35" s="6">
        <f t="shared" si="39"/>
        <v>62108.175129714691</v>
      </c>
      <c r="H35" s="6">
        <f t="shared" si="39"/>
        <v>63983.576683801621</v>
      </c>
      <c r="I35" s="6">
        <f t="shared" si="39"/>
        <v>64224.546649963035</v>
      </c>
      <c r="J35" s="6">
        <f t="shared" si="39"/>
        <v>64370.778939697193</v>
      </c>
      <c r="K35" s="6">
        <f t="shared" si="39"/>
        <v>63968.776057571209</v>
      </c>
      <c r="L35" s="6">
        <f t="shared" si="39"/>
        <v>63666.200833466952</v>
      </c>
      <c r="M35" s="6">
        <f t="shared" si="39"/>
        <v>63475.553014408732</v>
      </c>
      <c r="N35" s="6">
        <f t="shared" si="39"/>
        <v>63084.467273629707</v>
      </c>
      <c r="O35" s="6">
        <f t="shared" si="39"/>
        <v>62700.902412481046</v>
      </c>
      <c r="P35" s="6">
        <f t="shared" si="39"/>
        <v>62315.457331424805</v>
      </c>
    </row>
    <row r="36" spans="1:16" x14ac:dyDescent="0.35">
      <c r="A36" s="45" t="s">
        <v>52</v>
      </c>
      <c r="B36" s="6">
        <v>52798</v>
      </c>
      <c r="C36" s="44">
        <v>52043</v>
      </c>
      <c r="D36" s="44">
        <v>51702.205192128698</v>
      </c>
      <c r="E36" s="44">
        <v>51342.381232548862</v>
      </c>
      <c r="F36" s="44">
        <v>50977.367504321242</v>
      </c>
      <c r="G36" s="44">
        <v>51241.175129714691</v>
      </c>
      <c r="H36" s="44">
        <v>53116.576683801621</v>
      </c>
      <c r="I36" s="44">
        <v>53357.546649963035</v>
      </c>
      <c r="J36" s="44">
        <v>53503.778939697193</v>
      </c>
      <c r="K36" s="44">
        <v>53101.776057571209</v>
      </c>
      <c r="L36" s="44">
        <v>52799.200833466952</v>
      </c>
      <c r="M36" s="44">
        <v>52608.553014408732</v>
      </c>
      <c r="N36" s="44">
        <v>52217.467273629707</v>
      </c>
      <c r="O36" s="44">
        <v>51833.902412481046</v>
      </c>
      <c r="P36" s="44">
        <v>51448.457331424805</v>
      </c>
    </row>
    <row r="37" spans="1:16" x14ac:dyDescent="0.35">
      <c r="A37" s="45" t="s">
        <v>53</v>
      </c>
      <c r="B37" s="6">
        <v>10142</v>
      </c>
      <c r="C37" s="44">
        <v>10867</v>
      </c>
      <c r="D37" s="44">
        <v>10867</v>
      </c>
      <c r="E37" s="44">
        <v>10867</v>
      </c>
      <c r="F37" s="44">
        <v>10867</v>
      </c>
      <c r="G37" s="44">
        <v>10867</v>
      </c>
      <c r="H37" s="44">
        <v>10867</v>
      </c>
      <c r="I37" s="44">
        <v>10867</v>
      </c>
      <c r="J37" s="44">
        <v>10867</v>
      </c>
      <c r="K37" s="44">
        <v>10867</v>
      </c>
      <c r="L37" s="44">
        <v>10867</v>
      </c>
      <c r="M37" s="44">
        <v>10867</v>
      </c>
      <c r="N37" s="44">
        <v>10867</v>
      </c>
      <c r="O37" s="44">
        <v>10867</v>
      </c>
      <c r="P37" s="44">
        <v>10867</v>
      </c>
    </row>
    <row r="38" spans="1:16" x14ac:dyDescent="0.35">
      <c r="A38" s="45" t="s">
        <v>9</v>
      </c>
      <c r="B38" s="34">
        <f t="shared" ref="B38:P38" si="40">SUM(B39:B40)</f>
        <v>55008</v>
      </c>
      <c r="C38" s="34">
        <f t="shared" si="40"/>
        <v>56924</v>
      </c>
      <c r="D38" s="6">
        <f t="shared" si="40"/>
        <v>56631.355072463761</v>
      </c>
      <c r="E38" s="6">
        <f t="shared" si="40"/>
        <v>56322.369565217385</v>
      </c>
      <c r="F38" s="6">
        <f t="shared" si="40"/>
        <v>56008.92753623188</v>
      </c>
      <c r="G38" s="6">
        <f t="shared" si="40"/>
        <v>56300.553562772657</v>
      </c>
      <c r="H38" s="6">
        <f t="shared" si="40"/>
        <v>58142.974715454155</v>
      </c>
      <c r="I38" s="6">
        <f t="shared" si="40"/>
        <v>58412.810823098152</v>
      </c>
      <c r="J38" s="6">
        <f t="shared" si="40"/>
        <v>60021.248207803459</v>
      </c>
      <c r="K38" s="6">
        <f t="shared" si="40"/>
        <v>60745.328080654879</v>
      </c>
      <c r="L38" s="6">
        <f t="shared" si="40"/>
        <v>60928.183237161829</v>
      </c>
      <c r="M38" s="6">
        <f t="shared" si="40"/>
        <v>61118.715127458985</v>
      </c>
      <c r="N38" s="6">
        <f t="shared" si="40"/>
        <v>60757.170426011115</v>
      </c>
      <c r="O38" s="6">
        <f t="shared" si="40"/>
        <v>60402.57850728339</v>
      </c>
      <c r="P38" s="6">
        <f t="shared" si="40"/>
        <v>60046.248392875641</v>
      </c>
    </row>
    <row r="39" spans="1:16" x14ac:dyDescent="0.35">
      <c r="A39" s="45" t="s">
        <v>52</v>
      </c>
      <c r="B39" s="6">
        <v>44106</v>
      </c>
      <c r="C39" s="44">
        <v>44690</v>
      </c>
      <c r="D39" s="44">
        <v>44397.355072463761</v>
      </c>
      <c r="E39" s="44">
        <v>44088.369565217385</v>
      </c>
      <c r="F39" s="44">
        <v>43774.92753623188</v>
      </c>
      <c r="G39" s="44">
        <v>44066.553562772657</v>
      </c>
      <c r="H39" s="44">
        <v>45908.974715454155</v>
      </c>
      <c r="I39" s="44">
        <v>46178.810823098152</v>
      </c>
      <c r="J39" s="44">
        <v>47787.248207803459</v>
      </c>
      <c r="K39" s="44">
        <v>48511.328080654879</v>
      </c>
      <c r="L39" s="44">
        <v>48694.183237161829</v>
      </c>
      <c r="M39" s="44">
        <v>48634.715127458985</v>
      </c>
      <c r="N39" s="44">
        <v>48273.170426011115</v>
      </c>
      <c r="O39" s="44">
        <v>47918.57850728339</v>
      </c>
      <c r="P39" s="44">
        <v>47562.248392875641</v>
      </c>
    </row>
    <row r="40" spans="1:16" x14ac:dyDescent="0.35">
      <c r="A40" s="45" t="s">
        <v>53</v>
      </c>
      <c r="B40" s="6">
        <v>10902</v>
      </c>
      <c r="C40" s="44">
        <v>12234</v>
      </c>
      <c r="D40" s="44">
        <v>12234</v>
      </c>
      <c r="E40" s="44">
        <v>12234</v>
      </c>
      <c r="F40" s="44">
        <v>12234</v>
      </c>
      <c r="G40" s="44">
        <v>12234</v>
      </c>
      <c r="H40" s="44">
        <v>12234</v>
      </c>
      <c r="I40" s="44">
        <v>12234</v>
      </c>
      <c r="J40" s="44">
        <v>12234</v>
      </c>
      <c r="K40" s="44">
        <v>12234</v>
      </c>
      <c r="L40" s="44">
        <v>12234</v>
      </c>
      <c r="M40" s="44">
        <v>12484</v>
      </c>
      <c r="N40" s="44">
        <v>12484</v>
      </c>
      <c r="O40" s="44">
        <v>12484</v>
      </c>
      <c r="P40" s="44">
        <v>12484</v>
      </c>
    </row>
    <row r="41" spans="1:16" x14ac:dyDescent="0.35">
      <c r="A41" s="9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x14ac:dyDescent="0.35">
      <c r="A42" s="8" t="s">
        <v>44</v>
      </c>
      <c r="B42" s="13">
        <v>2023</v>
      </c>
      <c r="C42" s="13">
        <v>2024</v>
      </c>
      <c r="D42" s="13">
        <f t="shared" ref="D42:P42" si="41">C42+1</f>
        <v>2025</v>
      </c>
      <c r="E42" s="13">
        <f t="shared" si="41"/>
        <v>2026</v>
      </c>
      <c r="F42" s="13">
        <f t="shared" si="41"/>
        <v>2027</v>
      </c>
      <c r="G42" s="13">
        <f t="shared" si="41"/>
        <v>2028</v>
      </c>
      <c r="H42" s="13">
        <f t="shared" si="41"/>
        <v>2029</v>
      </c>
      <c r="I42" s="13">
        <f t="shared" si="41"/>
        <v>2030</v>
      </c>
      <c r="J42" s="13">
        <f t="shared" si="41"/>
        <v>2031</v>
      </c>
      <c r="K42" s="13">
        <f t="shared" si="41"/>
        <v>2032</v>
      </c>
      <c r="L42" s="13">
        <f t="shared" si="41"/>
        <v>2033</v>
      </c>
      <c r="M42" s="13">
        <f t="shared" si="41"/>
        <v>2034</v>
      </c>
      <c r="N42" s="13">
        <f t="shared" si="41"/>
        <v>2035</v>
      </c>
      <c r="O42" s="13">
        <f t="shared" si="41"/>
        <v>2036</v>
      </c>
      <c r="P42" s="13">
        <f t="shared" si="41"/>
        <v>2037</v>
      </c>
    </row>
    <row r="43" spans="1:16" x14ac:dyDescent="0.35">
      <c r="A43" s="38" t="s">
        <v>54</v>
      </c>
      <c r="B43" s="39">
        <v>1.2422417515814994</v>
      </c>
      <c r="C43" s="39">
        <v>1.0806711757585072</v>
      </c>
      <c r="D43" s="39">
        <f>1.01*2/3+0.85*1/3</f>
        <v>0.95666666666666667</v>
      </c>
      <c r="E43" s="39">
        <f>D43*2.082933</f>
        <v>1.9926725700000001</v>
      </c>
      <c r="F43" s="39">
        <f>E43*1.089746</f>
        <v>2.1715069624672201</v>
      </c>
      <c r="G43" s="39">
        <f>F43*1.11297</f>
        <v>2.4168221040171418</v>
      </c>
      <c r="H43" s="39">
        <f>G43*1.04036</f>
        <v>2.5143650441352734</v>
      </c>
      <c r="I43" s="39">
        <f>H43*1.1530612</f>
        <v>2.8992167750286715</v>
      </c>
      <c r="J43" s="39">
        <f>I43*1.036042</f>
        <v>3.0037103460342545</v>
      </c>
      <c r="K43" s="39">
        <f>J43*1.02641</f>
        <v>3.0830383362730194</v>
      </c>
      <c r="L43" s="39">
        <f>K43*1.042744</f>
        <v>3.2148197269186731</v>
      </c>
      <c r="M43" s="39">
        <f>L43*1.004657</f>
        <v>3.229791142386933</v>
      </c>
      <c r="N43" s="39">
        <f>M43*0.996633</f>
        <v>3.2189164356105162</v>
      </c>
      <c r="O43" s="39">
        <f>N43*0.9968483</f>
        <v>3.2087713766804025</v>
      </c>
      <c r="P43" s="39">
        <f>O43*0.997204</f>
        <v>3.1997996519112042</v>
      </c>
    </row>
    <row r="44" spans="1:16" x14ac:dyDescent="0.35">
      <c r="A44" s="40" t="s">
        <v>55</v>
      </c>
      <c r="B44" s="39">
        <v>2.968328345349839</v>
      </c>
      <c r="C44" s="39">
        <v>2.3332767957037364</v>
      </c>
      <c r="D44" s="39">
        <f>2.17*2/3+1.91*1/3</f>
        <v>2.083333333333333</v>
      </c>
      <c r="E44" s="39">
        <f t="shared" ref="E44:E46" si="42">D44*2.082933</f>
        <v>4.33944375</v>
      </c>
      <c r="F44" s="39">
        <f t="shared" ref="F44:F46" si="43">E44*1.089746</f>
        <v>4.7288914687875003</v>
      </c>
      <c r="G44" s="39">
        <f t="shared" ref="G44:G46" si="44">F44*1.11297</f>
        <v>5.2631143380164245</v>
      </c>
      <c r="H44" s="39">
        <f t="shared" ref="H44:H46" si="45">G44*1.04036</f>
        <v>5.4755336326987667</v>
      </c>
      <c r="I44" s="39">
        <f t="shared" ref="I44:I46" si="46">H44*1.1530612</f>
        <v>6.3136253811599996</v>
      </c>
      <c r="J44" s="39">
        <f t="shared" ref="J44:J46" si="47">I44*1.036042</f>
        <v>6.5411810671477681</v>
      </c>
      <c r="K44" s="39">
        <f t="shared" ref="K44:K46" si="48">J44*1.02641</f>
        <v>6.7139336591311407</v>
      </c>
      <c r="L44" s="39">
        <f t="shared" ref="L44:L46" si="49">K44*1.042744</f>
        <v>7.000914039457041</v>
      </c>
      <c r="M44" s="39">
        <f t="shared" ref="M44:M46" si="50">L44*1.004657</f>
        <v>7.0335172961387915</v>
      </c>
      <c r="N44" s="39">
        <f t="shared" ref="N44:N46" si="51">M44*0.996633</f>
        <v>7.0098354434026922</v>
      </c>
      <c r="O44" s="39">
        <f t="shared" ref="O44:O46" si="52">N44*0.9968483</f>
        <v>6.9877425450357205</v>
      </c>
      <c r="P44" s="39">
        <f t="shared" ref="P44:P46" si="53">O44*0.997204</f>
        <v>6.9682048168798003</v>
      </c>
    </row>
    <row r="45" spans="1:16" x14ac:dyDescent="0.35">
      <c r="A45" s="38" t="s">
        <v>56</v>
      </c>
      <c r="B45" s="39">
        <v>1.2218852297377243</v>
      </c>
      <c r="C45" s="39">
        <v>1.0802843471059171</v>
      </c>
      <c r="D45" s="39">
        <f>1.01*2/3+0.85*1/3</f>
        <v>0.95666666666666667</v>
      </c>
      <c r="E45" s="39">
        <f t="shared" si="42"/>
        <v>1.9926725700000001</v>
      </c>
      <c r="F45" s="39">
        <f t="shared" si="43"/>
        <v>2.1715069624672201</v>
      </c>
      <c r="G45" s="39">
        <f t="shared" si="44"/>
        <v>2.4168221040171418</v>
      </c>
      <c r="H45" s="39">
        <f t="shared" si="45"/>
        <v>2.5143650441352734</v>
      </c>
      <c r="I45" s="39">
        <f t="shared" si="46"/>
        <v>2.8992167750286715</v>
      </c>
      <c r="J45" s="39">
        <f t="shared" si="47"/>
        <v>3.0037103460342545</v>
      </c>
      <c r="K45" s="39">
        <f t="shared" si="48"/>
        <v>3.0830383362730194</v>
      </c>
      <c r="L45" s="39">
        <f t="shared" si="49"/>
        <v>3.2148197269186731</v>
      </c>
      <c r="M45" s="39">
        <f t="shared" si="50"/>
        <v>3.229791142386933</v>
      </c>
      <c r="N45" s="39">
        <f t="shared" si="51"/>
        <v>3.2189164356105162</v>
      </c>
      <c r="O45" s="39">
        <f t="shared" si="52"/>
        <v>3.2087713766804025</v>
      </c>
      <c r="P45" s="39">
        <f t="shared" si="53"/>
        <v>3.1997996519112042</v>
      </c>
    </row>
    <row r="46" spans="1:16" x14ac:dyDescent="0.35">
      <c r="A46" s="40" t="s">
        <v>57</v>
      </c>
      <c r="B46" s="39">
        <v>3.1898275545771417</v>
      </c>
      <c r="C46" s="39">
        <v>2.3875846002942618</v>
      </c>
      <c r="D46" s="39">
        <f>2.17*2/3+1.91*1/3</f>
        <v>2.083333333333333</v>
      </c>
      <c r="E46" s="39">
        <f t="shared" si="42"/>
        <v>4.33944375</v>
      </c>
      <c r="F46" s="39">
        <f t="shared" si="43"/>
        <v>4.7288914687875003</v>
      </c>
      <c r="G46" s="39">
        <f t="shared" si="44"/>
        <v>5.2631143380164245</v>
      </c>
      <c r="H46" s="39">
        <f t="shared" si="45"/>
        <v>5.4755336326987667</v>
      </c>
      <c r="I46" s="39">
        <f t="shared" si="46"/>
        <v>6.3136253811599996</v>
      </c>
      <c r="J46" s="39">
        <f t="shared" si="47"/>
        <v>6.5411810671477681</v>
      </c>
      <c r="K46" s="39">
        <f t="shared" si="48"/>
        <v>6.7139336591311407</v>
      </c>
      <c r="L46" s="39">
        <f t="shared" si="49"/>
        <v>7.000914039457041</v>
      </c>
      <c r="M46" s="39">
        <f t="shared" si="50"/>
        <v>7.0335172961387915</v>
      </c>
      <c r="N46" s="39">
        <f t="shared" si="51"/>
        <v>7.0098354434026922</v>
      </c>
      <c r="O46" s="39">
        <f t="shared" si="52"/>
        <v>6.9877425450357205</v>
      </c>
      <c r="P46" s="39">
        <f t="shared" si="53"/>
        <v>6.9682048168798003</v>
      </c>
    </row>
    <row r="47" spans="1:16" x14ac:dyDescent="0.35">
      <c r="A47" s="9"/>
      <c r="B47" s="19"/>
      <c r="C47" s="23"/>
      <c r="D47" s="24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6" x14ac:dyDescent="0.35">
      <c r="A48" s="27" t="s">
        <v>51</v>
      </c>
      <c r="B48" s="46">
        <f>B36*B43+B37*B45+B39*B44+B40*B46</f>
        <v>243676.83000000002</v>
      </c>
      <c r="C48" s="46">
        <f t="shared" ref="C48:P48" si="54">C36*C43+C37*C45+C39*C44+C40*C46</f>
        <v>201464.66999999995</v>
      </c>
      <c r="D48" s="46">
        <f t="shared" si="54"/>
        <v>177839.86270143595</v>
      </c>
      <c r="E48" s="46">
        <f>E36*E43+E37*E45+E39*E44+E40*E46</f>
        <v>368370.68217374571</v>
      </c>
      <c r="F48" s="46">
        <f t="shared" si="54"/>
        <v>399155.61422703933</v>
      </c>
      <c r="G48" s="46">
        <f t="shared" si="54"/>
        <v>446420.66118815262</v>
      </c>
      <c r="H48" s="46">
        <f t="shared" si="54"/>
        <v>479241.88217212277</v>
      </c>
      <c r="I48" s="46">
        <f t="shared" si="54"/>
        <v>554997.48801379441</v>
      </c>
      <c r="J48" s="46">
        <f t="shared" si="54"/>
        <v>585961.02708691324</v>
      </c>
      <c r="K48" s="46">
        <f t="shared" si="54"/>
        <v>605058.29174562858</v>
      </c>
      <c r="L48" s="46">
        <f t="shared" si="54"/>
        <v>631228.33180105302</v>
      </c>
      <c r="M48" s="46">
        <f t="shared" si="54"/>
        <v>634892.31885081192</v>
      </c>
      <c r="N48" s="46">
        <f t="shared" si="54"/>
        <v>628961.39523193089</v>
      </c>
      <c r="O48" s="46">
        <f t="shared" si="54"/>
        <v>623270.52861840464</v>
      </c>
      <c r="P48" s="46">
        <f t="shared" si="54"/>
        <v>617811.53596457769</v>
      </c>
    </row>
    <row r="49" spans="1:16" x14ac:dyDescent="0.35">
      <c r="A49" s="27" t="s">
        <v>45</v>
      </c>
      <c r="B49" s="28">
        <f>B51-B50</f>
        <v>375490.30722666666</v>
      </c>
      <c r="C49" s="28">
        <f>C51-C50</f>
        <v>366539.22156873334</v>
      </c>
      <c r="D49" s="28">
        <f t="shared" ref="D49:O49" si="55">D51-D50</f>
        <v>352315.85789436544</v>
      </c>
      <c r="E49" s="28">
        <f t="shared" si="55"/>
        <v>368371.35913277965</v>
      </c>
      <c r="F49" s="28">
        <f t="shared" si="55"/>
        <v>399155.64856927702</v>
      </c>
      <c r="G49" s="28">
        <f t="shared" si="55"/>
        <v>446420.99666429736</v>
      </c>
      <c r="H49" s="28">
        <f t="shared" si="55"/>
        <v>479241.89635128994</v>
      </c>
      <c r="I49" s="28">
        <f t="shared" si="55"/>
        <v>554997.27106585493</v>
      </c>
      <c r="J49" s="28">
        <f t="shared" si="55"/>
        <v>585961.31064893154</v>
      </c>
      <c r="K49" s="28">
        <f t="shared" si="55"/>
        <v>605058.18325071118</v>
      </c>
      <c r="L49" s="28">
        <f t="shared" si="55"/>
        <v>631228.01905154891</v>
      </c>
      <c r="M49" s="28">
        <f t="shared" si="55"/>
        <v>634892.38237042807</v>
      </c>
      <c r="N49" s="28">
        <f t="shared" si="55"/>
        <v>628961.11436993489</v>
      </c>
      <c r="O49" s="28">
        <f t="shared" si="55"/>
        <v>623271.39527695382</v>
      </c>
      <c r="P49" s="28">
        <f t="shared" ref="P49" si="56">P51-P50</f>
        <v>617812.06966744154</v>
      </c>
    </row>
    <row r="50" spans="1:16" x14ac:dyDescent="0.35">
      <c r="A50" s="27" t="s">
        <v>42</v>
      </c>
      <c r="B50" s="46">
        <v>2319</v>
      </c>
      <c r="C50" s="46">
        <v>1696</v>
      </c>
      <c r="D50" s="46">
        <f t="shared" ref="D50:P50" si="57">C50*(1+D2)</f>
        <v>1784.192</v>
      </c>
      <c r="E50" s="46">
        <f t="shared" si="57"/>
        <v>1843.0703359999998</v>
      </c>
      <c r="F50" s="46">
        <f t="shared" si="57"/>
        <v>1887.3040240639998</v>
      </c>
      <c r="G50" s="46">
        <f t="shared" si="57"/>
        <v>1928.8247125934079</v>
      </c>
      <c r="H50" s="46">
        <f t="shared" si="57"/>
        <v>1967.401206845276</v>
      </c>
      <c r="I50" s="46">
        <f t="shared" si="57"/>
        <v>2006.7492309821814</v>
      </c>
      <c r="J50" s="46">
        <f t="shared" si="57"/>
        <v>2046.8842156018252</v>
      </c>
      <c r="K50" s="46">
        <f t="shared" si="57"/>
        <v>2087.8218999138617</v>
      </c>
      <c r="L50" s="46">
        <f t="shared" si="57"/>
        <v>2129.578337912139</v>
      </c>
      <c r="M50" s="46">
        <f t="shared" si="57"/>
        <v>2172.1699046703816</v>
      </c>
      <c r="N50" s="46">
        <f t="shared" si="57"/>
        <v>2215.6133027637893</v>
      </c>
      <c r="O50" s="46">
        <f t="shared" si="57"/>
        <v>2259.9255688190651</v>
      </c>
      <c r="P50" s="46">
        <f t="shared" si="57"/>
        <v>2305.1240801954464</v>
      </c>
    </row>
    <row r="51" spans="1:16" x14ac:dyDescent="0.35">
      <c r="A51" s="27" t="s">
        <v>43</v>
      </c>
      <c r="B51" s="28">
        <f t="shared" ref="B51:P51" si="58">B32</f>
        <v>377809.30722666666</v>
      </c>
      <c r="C51" s="28">
        <f t="shared" si="58"/>
        <v>368235.22156873334</v>
      </c>
      <c r="D51" s="28">
        <f t="shared" si="58"/>
        <v>354100.04989436542</v>
      </c>
      <c r="E51" s="28">
        <f t="shared" si="58"/>
        <v>370214.42946877965</v>
      </c>
      <c r="F51" s="28">
        <f t="shared" si="58"/>
        <v>401042.952593341</v>
      </c>
      <c r="G51" s="28">
        <f t="shared" si="58"/>
        <v>448349.82137689076</v>
      </c>
      <c r="H51" s="28">
        <f t="shared" si="58"/>
        <v>481209.29755813524</v>
      </c>
      <c r="I51" s="28">
        <f t="shared" si="58"/>
        <v>557004.02029683709</v>
      </c>
      <c r="J51" s="28">
        <f t="shared" si="58"/>
        <v>588008.19486453338</v>
      </c>
      <c r="K51" s="28">
        <f t="shared" si="58"/>
        <v>607146.00515062502</v>
      </c>
      <c r="L51" s="28">
        <f t="shared" si="58"/>
        <v>633357.59738946101</v>
      </c>
      <c r="M51" s="28">
        <f t="shared" si="58"/>
        <v>637064.55227509839</v>
      </c>
      <c r="N51" s="28">
        <f t="shared" si="58"/>
        <v>631176.72767269867</v>
      </c>
      <c r="O51" s="28">
        <f t="shared" si="58"/>
        <v>625531.32084577286</v>
      </c>
      <c r="P51" s="28">
        <f t="shared" si="58"/>
        <v>620117.19374763698</v>
      </c>
    </row>
    <row r="52" spans="1:16" ht="6.65" customHeight="1" x14ac:dyDescent="0.35">
      <c r="A52" s="9"/>
      <c r="B52" s="5"/>
      <c r="C52" s="5"/>
    </row>
    <row r="53" spans="1:16" ht="21.65" hidden="1" customHeight="1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ht="12" customHeight="1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35">
      <c r="A55" s="7" t="s">
        <v>46</v>
      </c>
      <c r="B55" s="6">
        <v>62.091088624599465</v>
      </c>
      <c r="C55" s="6">
        <v>60.523720121151626</v>
      </c>
      <c r="D55" s="6">
        <v>60.523720121151626</v>
      </c>
      <c r="E55" s="6">
        <v>60.523720121151626</v>
      </c>
      <c r="F55" s="6">
        <v>60.523720121151626</v>
      </c>
      <c r="G55" s="6">
        <v>60.523720121151626</v>
      </c>
      <c r="H55" s="6">
        <v>60.523720121151626</v>
      </c>
      <c r="I55" s="6">
        <v>60.523720121151626</v>
      </c>
      <c r="J55" s="6">
        <v>60.523720121151626</v>
      </c>
      <c r="K55" s="6">
        <v>60.523720121151626</v>
      </c>
      <c r="L55" s="6">
        <v>60.523720121151626</v>
      </c>
      <c r="M55" s="6">
        <v>60.523720121151626</v>
      </c>
      <c r="N55" s="6">
        <v>60.523720121151626</v>
      </c>
      <c r="O55" s="6">
        <v>60.523720121151626</v>
      </c>
      <c r="P55" s="6">
        <v>60.523720121151626</v>
      </c>
    </row>
    <row r="56" spans="1:16" x14ac:dyDescent="0.35">
      <c r="A56" s="7" t="s">
        <v>62</v>
      </c>
      <c r="B56" s="6">
        <v>1054.0999999999999</v>
      </c>
      <c r="C56" s="6">
        <v>1175.8</v>
      </c>
      <c r="D56" s="6">
        <f t="shared" ref="D56:P56" si="59">C56*(1+D2)</f>
        <v>1236.9416000000001</v>
      </c>
      <c r="E56" s="6">
        <f t="shared" si="59"/>
        <v>1277.7606728000001</v>
      </c>
      <c r="F56" s="6">
        <f t="shared" si="59"/>
        <v>1308.4269289472002</v>
      </c>
      <c r="G56" s="6">
        <f t="shared" si="59"/>
        <v>1337.2123213840387</v>
      </c>
      <c r="H56" s="6">
        <f t="shared" si="59"/>
        <v>1363.9565678117194</v>
      </c>
      <c r="I56" s="6">
        <f t="shared" si="59"/>
        <v>1391.2356991679537</v>
      </c>
      <c r="J56" s="6">
        <f t="shared" si="59"/>
        <v>1419.0604131513128</v>
      </c>
      <c r="K56" s="6">
        <f t="shared" si="59"/>
        <v>1447.4416214143391</v>
      </c>
      <c r="L56" s="6">
        <f t="shared" si="59"/>
        <v>1476.3904538426259</v>
      </c>
      <c r="M56" s="6">
        <f t="shared" si="59"/>
        <v>1505.9182629194784</v>
      </c>
      <c r="N56" s="6">
        <f t="shared" si="59"/>
        <v>1536.0366281778679</v>
      </c>
      <c r="O56" s="6">
        <f t="shared" si="59"/>
        <v>1566.7573607414254</v>
      </c>
      <c r="P56" s="6">
        <f t="shared" si="59"/>
        <v>1598.0925079562539</v>
      </c>
    </row>
    <row r="57" spans="1:16" x14ac:dyDescent="0.35">
      <c r="A57" s="7" t="s">
        <v>19</v>
      </c>
      <c r="B57" s="30">
        <f>((B43*1.22*B55+B44*1.22*B55)*365/12/1000)</f>
        <v>9.701561144247064</v>
      </c>
      <c r="C57" s="30">
        <f>((C43*1.22*C55+C44*1.22*C55)*365/12/1000)</f>
        <v>7.6675031234687072</v>
      </c>
      <c r="D57" s="30">
        <f>((D43*1.23*D55+D44*1.23*D55)*365/12/1000)</f>
        <v>6.8836047842590586</v>
      </c>
      <c r="E57" s="30">
        <f>((E43*1.24*E55+E44*1.24*E55)*365/12/1000)</f>
        <v>14.454657381685312</v>
      </c>
      <c r="F57" s="30">
        <f>((F43*1.24*F55+F44*1.24*F55)*365/12/1000)</f>
        <v>15.75190506306204</v>
      </c>
      <c r="G57" s="30">
        <f>((G43*1.24*G55+G44*1.24*G55)*365/12/1000)</f>
        <v>17.531397778036162</v>
      </c>
      <c r="H57" s="30">
        <f t="shared" ref="H57:P57" si="60">((H43*1.22*H55+H44*1.22*H55)*365/12/1000)</f>
        <v>17.944788137642256</v>
      </c>
      <c r="I57" s="30">
        <f t="shared" si="60"/>
        <v>20.691438943735537</v>
      </c>
      <c r="J57" s="30">
        <f t="shared" si="60"/>
        <v>21.437199786145658</v>
      </c>
      <c r="K57" s="30">
        <f t="shared" si="60"/>
        <v>22.003356232497758</v>
      </c>
      <c r="L57" s="30">
        <f t="shared" si="60"/>
        <v>22.943867691299644</v>
      </c>
      <c r="M57" s="30">
        <f t="shared" si="60"/>
        <v>23.05071728313802</v>
      </c>
      <c r="N57" s="30">
        <f t="shared" si="60"/>
        <v>22.973105518045699</v>
      </c>
      <c r="O57" s="30">
        <f t="shared" si="60"/>
        <v>22.900701181384473</v>
      </c>
      <c r="P57" s="30">
        <f t="shared" si="60"/>
        <v>22.83667082088132</v>
      </c>
    </row>
    <row r="58" spans="1:16" x14ac:dyDescent="0.35">
      <c r="A58" s="8" t="s">
        <v>20</v>
      </c>
      <c r="B58" s="31">
        <f t="shared" ref="B58:P58" si="61">B57/B56</f>
        <v>9.2036440036496209E-3</v>
      </c>
      <c r="C58" s="31">
        <f t="shared" si="61"/>
        <v>6.521094678915383E-3</v>
      </c>
      <c r="D58" s="31">
        <f t="shared" si="61"/>
        <v>5.5650200334915233E-3</v>
      </c>
      <c r="E58" s="31">
        <f t="shared" si="61"/>
        <v>1.1312491994303075E-2</v>
      </c>
      <c r="F58" s="31">
        <f t="shared" si="61"/>
        <v>1.2038811426585739E-2</v>
      </c>
      <c r="G58" s="31">
        <f t="shared" si="61"/>
        <v>1.3110406999459033E-2</v>
      </c>
      <c r="H58" s="31">
        <f t="shared" si="61"/>
        <v>1.3156421957359096E-2</v>
      </c>
      <c r="I58" s="31">
        <f t="shared" si="61"/>
        <v>1.4872705578292964E-2</v>
      </c>
      <c r="J58" s="31">
        <f t="shared" si="61"/>
        <v>1.5106615326221375E-2</v>
      </c>
      <c r="K58" s="31">
        <f t="shared" si="61"/>
        <v>1.5201550036261642E-2</v>
      </c>
      <c r="L58" s="31">
        <f t="shared" si="61"/>
        <v>1.5540514795109423E-2</v>
      </c>
      <c r="M58" s="31">
        <f t="shared" si="61"/>
        <v>1.5306751933833573E-2</v>
      </c>
      <c r="N58" s="31">
        <f t="shared" si="61"/>
        <v>1.4956092254972901E-2</v>
      </c>
      <c r="O58" s="31">
        <f t="shared" si="61"/>
        <v>1.4616622685306765E-2</v>
      </c>
      <c r="P58" s="31">
        <f t="shared" si="61"/>
        <v>1.4289955498312398E-2</v>
      </c>
    </row>
    <row r="59" spans="1:16" x14ac:dyDescent="0.35">
      <c r="A59" s="8" t="s">
        <v>61</v>
      </c>
      <c r="B59" s="31">
        <f>B58/B55*150</f>
        <v>2.2234214782320523E-2</v>
      </c>
      <c r="C59" s="31">
        <f t="shared" ref="C59:F59" si="62">C58/C55*150</f>
        <v>1.6161666861840205E-2</v>
      </c>
      <c r="D59" s="31">
        <f t="shared" si="62"/>
        <v>1.3792162863630747E-2</v>
      </c>
      <c r="E59" s="31">
        <f t="shared" si="62"/>
        <v>2.8036508591157194E-2</v>
      </c>
      <c r="F59" s="31">
        <f t="shared" si="62"/>
        <v>2.9836594815604672E-2</v>
      </c>
      <c r="G59" s="31">
        <f t="shared" ref="G59" si="63">G58/G55*150</f>
        <v>3.249240208603086E-2</v>
      </c>
      <c r="H59" s="31">
        <f t="shared" ref="H59" si="64">H58/H55*150</f>
        <v>3.2606444046293599E-2</v>
      </c>
      <c r="I59" s="31">
        <f t="shared" ref="I59" si="65">I58/I55*150</f>
        <v>3.6860024999756998E-2</v>
      </c>
      <c r="J59" s="31">
        <f t="shared" ref="J59" si="66">J58/J55*150</f>
        <v>3.7439739236076713E-2</v>
      </c>
      <c r="K59" s="31">
        <f t="shared" ref="K59" si="67">K58/K55*150</f>
        <v>3.7675022303236751E-2</v>
      </c>
      <c r="L59" s="31">
        <f t="shared" ref="L59" si="68">L58/L55*150</f>
        <v>3.8515101428006175E-2</v>
      </c>
      <c r="M59" s="31">
        <f t="shared" ref="M59" si="69">M58/M55*150</f>
        <v>3.7935751230741568E-2</v>
      </c>
      <c r="N59" s="31">
        <f t="shared" ref="N59" si="70">N58/N55*150</f>
        <v>3.706668780034085E-2</v>
      </c>
      <c r="O59" s="31">
        <f t="shared" ref="O59" si="71">O58/O55*150</f>
        <v>3.6225357569020109E-2</v>
      </c>
      <c r="P59" s="31">
        <f t="shared" ref="P59" si="72">P58/P55*150</f>
        <v>3.5415756342408948E-2</v>
      </c>
    </row>
    <row r="60" spans="1:16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35">
      <c r="A61" s="8" t="s">
        <v>15</v>
      </c>
      <c r="B61" s="32">
        <f t="shared" ref="B61:P61" si="73">B48+B50</f>
        <v>245995.83000000002</v>
      </c>
      <c r="C61" s="32">
        <f t="shared" si="73"/>
        <v>203160.66999999995</v>
      </c>
      <c r="D61" s="32">
        <f t="shared" si="73"/>
        <v>179624.05470143596</v>
      </c>
      <c r="E61" s="32">
        <f t="shared" si="73"/>
        <v>370213.75250974571</v>
      </c>
      <c r="F61" s="32">
        <f t="shared" si="73"/>
        <v>401042.91825110331</v>
      </c>
      <c r="G61" s="32">
        <f t="shared" si="73"/>
        <v>448349.48590074602</v>
      </c>
      <c r="H61" s="32">
        <f t="shared" si="73"/>
        <v>481209.28337896807</v>
      </c>
      <c r="I61" s="32">
        <f t="shared" si="73"/>
        <v>557004.23724477657</v>
      </c>
      <c r="J61" s="32">
        <f t="shared" si="73"/>
        <v>588007.91130251507</v>
      </c>
      <c r="K61" s="32">
        <f t="shared" si="73"/>
        <v>607146.11364554241</v>
      </c>
      <c r="L61" s="32">
        <f t="shared" si="73"/>
        <v>633357.91013896512</v>
      </c>
      <c r="M61" s="32">
        <f t="shared" si="73"/>
        <v>637064.48875548225</v>
      </c>
      <c r="N61" s="32">
        <f t="shared" si="73"/>
        <v>631177.00853469467</v>
      </c>
      <c r="O61" s="32">
        <f t="shared" si="73"/>
        <v>625530.45418722369</v>
      </c>
      <c r="P61" s="32">
        <f t="shared" si="73"/>
        <v>620116.66004477313</v>
      </c>
    </row>
    <row r="62" spans="1:16" x14ac:dyDescent="0.35">
      <c r="A62" s="9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 x14ac:dyDescent="0.35">
      <c r="A63" s="8" t="s">
        <v>48</v>
      </c>
      <c r="B63" s="33">
        <v>2023</v>
      </c>
      <c r="C63" s="13">
        <v>2024</v>
      </c>
      <c r="D63" s="13">
        <f t="shared" ref="D63" si="74">C63+1</f>
        <v>2025</v>
      </c>
      <c r="E63" s="13">
        <f t="shared" ref="E63" si="75">D63+1</f>
        <v>2026</v>
      </c>
      <c r="F63" s="13">
        <f t="shared" ref="F63" si="76">E63+1</f>
        <v>2027</v>
      </c>
      <c r="G63" s="13">
        <f t="shared" ref="G63" si="77">F63+1</f>
        <v>2028</v>
      </c>
      <c r="H63" s="13">
        <f t="shared" ref="H63" si="78">G63+1</f>
        <v>2029</v>
      </c>
      <c r="I63" s="13">
        <f t="shared" ref="I63" si="79">H63+1</f>
        <v>2030</v>
      </c>
      <c r="J63" s="13">
        <f t="shared" ref="J63" si="80">I63+1</f>
        <v>2031</v>
      </c>
      <c r="K63" s="13">
        <f t="shared" ref="K63" si="81">J63+1</f>
        <v>2032</v>
      </c>
      <c r="L63" s="13">
        <f t="shared" ref="L63" si="82">K63+1</f>
        <v>2033</v>
      </c>
      <c r="M63" s="13">
        <f t="shared" ref="M63" si="83">L63+1</f>
        <v>2034</v>
      </c>
      <c r="N63" s="13">
        <f t="shared" ref="N63" si="84">M63+1</f>
        <v>2035</v>
      </c>
      <c r="O63" s="13">
        <f t="shared" ref="O63:P63" si="85">N63+1</f>
        <v>2036</v>
      </c>
      <c r="P63" s="13">
        <f t="shared" si="85"/>
        <v>2037</v>
      </c>
    </row>
    <row r="64" spans="1:16" x14ac:dyDescent="0.35">
      <c r="A64" s="7" t="s">
        <v>11</v>
      </c>
      <c r="B64" s="6">
        <f t="shared" ref="B64:O64" si="86">B61</f>
        <v>245995.83000000002</v>
      </c>
      <c r="C64" s="6">
        <f t="shared" si="86"/>
        <v>203160.66999999995</v>
      </c>
      <c r="D64" s="6">
        <f t="shared" si="86"/>
        <v>179624.05470143596</v>
      </c>
      <c r="E64" s="6">
        <f t="shared" si="86"/>
        <v>370213.75250974571</v>
      </c>
      <c r="F64" s="6">
        <f t="shared" si="86"/>
        <v>401042.91825110331</v>
      </c>
      <c r="G64" s="6">
        <f t="shared" si="86"/>
        <v>448349.48590074602</v>
      </c>
      <c r="H64" s="6">
        <f t="shared" si="86"/>
        <v>481209.28337896807</v>
      </c>
      <c r="I64" s="6">
        <f t="shared" si="86"/>
        <v>557004.23724477657</v>
      </c>
      <c r="J64" s="6">
        <f t="shared" si="86"/>
        <v>588007.91130251507</v>
      </c>
      <c r="K64" s="6">
        <f t="shared" si="86"/>
        <v>607146.11364554241</v>
      </c>
      <c r="L64" s="6">
        <f t="shared" si="86"/>
        <v>633357.91013896512</v>
      </c>
      <c r="M64" s="6">
        <f t="shared" si="86"/>
        <v>637064.48875548225</v>
      </c>
      <c r="N64" s="6">
        <f t="shared" si="86"/>
        <v>631177.00853469467</v>
      </c>
      <c r="O64" s="6">
        <f t="shared" si="86"/>
        <v>625530.45418722369</v>
      </c>
      <c r="P64" s="6">
        <f t="shared" ref="P64" si="87">P61</f>
        <v>620116.66004477313</v>
      </c>
    </row>
    <row r="65" spans="1:16" x14ac:dyDescent="0.35">
      <c r="A65" s="7" t="s">
        <v>24</v>
      </c>
      <c r="B65" s="6">
        <f t="shared" ref="B65:P65" si="88">B25</f>
        <v>179900</v>
      </c>
      <c r="C65" s="6">
        <f t="shared" si="88"/>
        <v>173949</v>
      </c>
      <c r="D65" s="6">
        <f t="shared" si="88"/>
        <v>159848.91390915209</v>
      </c>
      <c r="E65" s="6">
        <f t="shared" si="88"/>
        <v>165590.79354540305</v>
      </c>
      <c r="F65" s="6">
        <f t="shared" si="88"/>
        <v>169919.47414258568</v>
      </c>
      <c r="G65" s="6">
        <f t="shared" si="88"/>
        <v>174316.69762195594</v>
      </c>
      <c r="H65" s="6">
        <f t="shared" si="88"/>
        <v>179806.06338369736</v>
      </c>
      <c r="I65" s="6">
        <f t="shared" si="88"/>
        <v>184062.67972838203</v>
      </c>
      <c r="J65" s="6">
        <f t="shared" si="88"/>
        <v>188345.87508927705</v>
      </c>
      <c r="K65" s="6">
        <f t="shared" si="88"/>
        <v>192235.59888735338</v>
      </c>
      <c r="L65" s="6">
        <f t="shared" si="88"/>
        <v>196303.05743488178</v>
      </c>
      <c r="M65" s="6">
        <f t="shared" si="88"/>
        <v>200570.36608330108</v>
      </c>
      <c r="N65" s="6">
        <f t="shared" si="88"/>
        <v>204737.06630928209</v>
      </c>
      <c r="O65" s="6">
        <f t="shared" si="88"/>
        <v>209002.07579522181</v>
      </c>
      <c r="P65" s="6">
        <f t="shared" si="88"/>
        <v>213358.17624605814</v>
      </c>
    </row>
    <row r="66" spans="1:16" x14ac:dyDescent="0.35">
      <c r="A66" s="7" t="s">
        <v>33</v>
      </c>
      <c r="B66" s="6">
        <f t="shared" ref="B66:O66" si="89">B64-B65</f>
        <v>66095.830000000016</v>
      </c>
      <c r="C66" s="6">
        <f t="shared" si="89"/>
        <v>29211.669999999955</v>
      </c>
      <c r="D66" s="6">
        <f t="shared" si="89"/>
        <v>19775.14079228387</v>
      </c>
      <c r="E66" s="6">
        <f t="shared" si="89"/>
        <v>204622.95896434266</v>
      </c>
      <c r="F66" s="6">
        <f t="shared" si="89"/>
        <v>231123.44410851764</v>
      </c>
      <c r="G66" s="6">
        <f t="shared" si="89"/>
        <v>274032.78827879007</v>
      </c>
      <c r="H66" s="6">
        <f t="shared" si="89"/>
        <v>301403.21999527072</v>
      </c>
      <c r="I66" s="6">
        <f t="shared" si="89"/>
        <v>372941.55751639453</v>
      </c>
      <c r="J66" s="6">
        <f t="shared" si="89"/>
        <v>399662.03621323803</v>
      </c>
      <c r="K66" s="6">
        <f t="shared" si="89"/>
        <v>414910.51475818903</v>
      </c>
      <c r="L66" s="6">
        <f t="shared" si="89"/>
        <v>437054.85270408331</v>
      </c>
      <c r="M66" s="6">
        <f t="shared" si="89"/>
        <v>436494.12267218117</v>
      </c>
      <c r="N66" s="6">
        <f t="shared" si="89"/>
        <v>426439.94222541258</v>
      </c>
      <c r="O66" s="6">
        <f t="shared" si="89"/>
        <v>416528.37839200185</v>
      </c>
      <c r="P66" s="6">
        <f t="shared" ref="P66" si="90">P64-P65</f>
        <v>406758.48379871499</v>
      </c>
    </row>
    <row r="67" spans="1:16" x14ac:dyDescent="0.35">
      <c r="A67" s="7" t="s">
        <v>59</v>
      </c>
      <c r="B67" s="6">
        <v>0</v>
      </c>
      <c r="C67" s="6">
        <v>0</v>
      </c>
      <c r="D67" s="6">
        <v>0</v>
      </c>
      <c r="E67" s="6">
        <v>2360.6632500000001</v>
      </c>
      <c r="F67" s="6">
        <v>34273.42120199999</v>
      </c>
      <c r="G67" s="6">
        <v>66235.295236943988</v>
      </c>
      <c r="H67" s="6">
        <v>77546.224045084789</v>
      </c>
      <c r="I67" s="6">
        <v>150018.43521968479</v>
      </c>
      <c r="J67" s="6">
        <v>150018.43521968479</v>
      </c>
      <c r="K67" s="6">
        <v>165278.22857802213</v>
      </c>
      <c r="L67" s="6">
        <v>179865.47746879805</v>
      </c>
      <c r="M67" s="6">
        <v>179865.47746879805</v>
      </c>
      <c r="N67" s="6">
        <v>179865.47746879805</v>
      </c>
      <c r="O67" s="6">
        <v>177504.81421879801</v>
      </c>
      <c r="P67" s="6">
        <v>145592.05626679803</v>
      </c>
    </row>
    <row r="68" spans="1:16" x14ac:dyDescent="0.35">
      <c r="A68" s="7" t="s">
        <v>58</v>
      </c>
      <c r="B68" s="6">
        <v>0</v>
      </c>
      <c r="C68" s="6">
        <v>0</v>
      </c>
      <c r="D68" s="6">
        <v>0</v>
      </c>
      <c r="E68" s="6">
        <v>1031.6098402499999</v>
      </c>
      <c r="F68" s="6">
        <v>16081.579357949995</v>
      </c>
      <c r="G68" s="6">
        <v>29559.241117448393</v>
      </c>
      <c r="H68" s="6">
        <v>31629.610192468073</v>
      </c>
      <c r="I68" s="6">
        <v>62186.041951148836</v>
      </c>
      <c r="J68" s="6">
        <v>54694.562843164596</v>
      </c>
      <c r="K68" s="6">
        <v>54451.485580390581</v>
      </c>
      <c r="L68" s="6">
        <v>53125.960027608053</v>
      </c>
      <c r="M68" s="6">
        <v>44142.128807168141</v>
      </c>
      <c r="N68" s="6">
        <v>35158.297586728237</v>
      </c>
      <c r="O68" s="6">
        <v>26228.761621038338</v>
      </c>
      <c r="P68" s="6">
        <v>18151.339858898435</v>
      </c>
    </row>
    <row r="69" spans="1:16" x14ac:dyDescent="0.35">
      <c r="A69" s="8" t="s">
        <v>17</v>
      </c>
      <c r="B69" s="11"/>
      <c r="C69" s="11"/>
      <c r="D69" s="11"/>
      <c r="E69" s="11">
        <f t="shared" ref="E69:P69" si="91">E66/(E67+E68)</f>
        <v>60.320308395118801</v>
      </c>
      <c r="F69" s="11">
        <f t="shared" si="91"/>
        <v>4.5898806779548016</v>
      </c>
      <c r="G69" s="11">
        <f t="shared" si="91"/>
        <v>2.8606306654588769</v>
      </c>
      <c r="H69" s="11">
        <f t="shared" si="91"/>
        <v>2.760713688154242</v>
      </c>
      <c r="I69" s="11">
        <f t="shared" si="91"/>
        <v>1.7574631906383424</v>
      </c>
      <c r="J69" s="11">
        <f t="shared" si="91"/>
        <v>1.9523041526192533</v>
      </c>
      <c r="K69" s="11">
        <f t="shared" si="91"/>
        <v>1.8882767692450644</v>
      </c>
      <c r="L69" s="11">
        <f t="shared" si="91"/>
        <v>1.8758408351844469</v>
      </c>
      <c r="M69" s="11">
        <f t="shared" si="91"/>
        <v>1.9485683094816084</v>
      </c>
      <c r="N69" s="11">
        <f t="shared" si="91"/>
        <v>1.9832222837464908</v>
      </c>
      <c r="O69" s="11">
        <f t="shared" si="91"/>
        <v>2.0444758635142817</v>
      </c>
      <c r="P69" s="11">
        <f t="shared" si="91"/>
        <v>2.4841214572493033</v>
      </c>
    </row>
    <row r="70" spans="1:16" x14ac:dyDescent="0.35">
      <c r="A70" s="9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1:16" ht="0.75" hidden="1" customHeight="1" x14ac:dyDescent="0.35">
      <c r="A71" s="9" t="s">
        <v>10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idden="1" x14ac:dyDescent="0.35">
      <c r="A72" s="7" t="s">
        <v>11</v>
      </c>
      <c r="B72" s="6">
        <f t="shared" ref="B72:O72" si="92">B61</f>
        <v>245995.83000000002</v>
      </c>
      <c r="C72" s="6">
        <f t="shared" si="92"/>
        <v>203160.66999999995</v>
      </c>
      <c r="D72" s="6">
        <f t="shared" si="92"/>
        <v>179624.05470143596</v>
      </c>
      <c r="E72" s="6">
        <f t="shared" si="92"/>
        <v>370213.75250974571</v>
      </c>
      <c r="F72" s="6">
        <f t="shared" si="92"/>
        <v>401042.91825110331</v>
      </c>
      <c r="G72" s="6">
        <f t="shared" si="92"/>
        <v>448349.48590074602</v>
      </c>
      <c r="H72" s="6">
        <f t="shared" si="92"/>
        <v>481209.28337896807</v>
      </c>
      <c r="I72" s="6">
        <f t="shared" si="92"/>
        <v>557004.23724477657</v>
      </c>
      <c r="J72" s="6">
        <f t="shared" si="92"/>
        <v>588007.91130251507</v>
      </c>
      <c r="K72" s="6">
        <f t="shared" si="92"/>
        <v>607146.11364554241</v>
      </c>
      <c r="L72" s="6">
        <f t="shared" si="92"/>
        <v>633357.91013896512</v>
      </c>
      <c r="M72" s="6">
        <f t="shared" si="92"/>
        <v>637064.48875548225</v>
      </c>
      <c r="N72" s="6">
        <f t="shared" si="92"/>
        <v>631177.00853469467</v>
      </c>
      <c r="O72" s="6">
        <f t="shared" si="92"/>
        <v>625530.45418722369</v>
      </c>
      <c r="P72" s="6">
        <f t="shared" ref="P72" si="93">P61</f>
        <v>620116.66004477313</v>
      </c>
    </row>
    <row r="73" spans="1:16" hidden="1" x14ac:dyDescent="0.35">
      <c r="A73" s="7" t="s">
        <v>24</v>
      </c>
      <c r="B73" s="6">
        <f t="shared" ref="B73:P73" si="94">B25</f>
        <v>179900</v>
      </c>
      <c r="C73" s="6">
        <f t="shared" si="94"/>
        <v>173949</v>
      </c>
      <c r="D73" s="6">
        <f t="shared" si="94"/>
        <v>159848.91390915209</v>
      </c>
      <c r="E73" s="6">
        <f t="shared" si="94"/>
        <v>165590.79354540305</v>
      </c>
      <c r="F73" s="6">
        <f t="shared" si="94"/>
        <v>169919.47414258568</v>
      </c>
      <c r="G73" s="6">
        <f t="shared" si="94"/>
        <v>174316.69762195594</v>
      </c>
      <c r="H73" s="6">
        <f t="shared" si="94"/>
        <v>179806.06338369736</v>
      </c>
      <c r="I73" s="6">
        <f t="shared" si="94"/>
        <v>184062.67972838203</v>
      </c>
      <c r="J73" s="6">
        <f t="shared" si="94"/>
        <v>188345.87508927705</v>
      </c>
      <c r="K73" s="6">
        <f t="shared" si="94"/>
        <v>192235.59888735338</v>
      </c>
      <c r="L73" s="6">
        <f t="shared" si="94"/>
        <v>196303.05743488178</v>
      </c>
      <c r="M73" s="6">
        <f t="shared" si="94"/>
        <v>200570.36608330108</v>
      </c>
      <c r="N73" s="6">
        <f t="shared" si="94"/>
        <v>204737.06630928209</v>
      </c>
      <c r="O73" s="6">
        <f t="shared" si="94"/>
        <v>209002.07579522181</v>
      </c>
      <c r="P73" s="6">
        <f t="shared" si="94"/>
        <v>213358.17624605814</v>
      </c>
    </row>
    <row r="74" spans="1:16" hidden="1" x14ac:dyDescent="0.35">
      <c r="A74" s="7" t="s">
        <v>16</v>
      </c>
      <c r="B74" s="6">
        <f t="shared" ref="B74:O74" si="95">B72-B73</f>
        <v>66095.830000000016</v>
      </c>
      <c r="C74" s="6">
        <f t="shared" si="95"/>
        <v>29211.669999999955</v>
      </c>
      <c r="D74" s="6">
        <f t="shared" si="95"/>
        <v>19775.14079228387</v>
      </c>
      <c r="E74" s="6">
        <f t="shared" si="95"/>
        <v>204622.95896434266</v>
      </c>
      <c r="F74" s="6">
        <f t="shared" si="95"/>
        <v>231123.44410851764</v>
      </c>
      <c r="G74" s="6">
        <f t="shared" si="95"/>
        <v>274032.78827879007</v>
      </c>
      <c r="H74" s="6">
        <f t="shared" si="95"/>
        <v>301403.21999527072</v>
      </c>
      <c r="I74" s="6">
        <f t="shared" si="95"/>
        <v>372941.55751639453</v>
      </c>
      <c r="J74" s="6">
        <f t="shared" si="95"/>
        <v>399662.03621323803</v>
      </c>
      <c r="K74" s="6">
        <f t="shared" si="95"/>
        <v>414910.51475818903</v>
      </c>
      <c r="L74" s="6">
        <f t="shared" si="95"/>
        <v>437054.85270408331</v>
      </c>
      <c r="M74" s="6">
        <f t="shared" si="95"/>
        <v>436494.12267218117</v>
      </c>
      <c r="N74" s="6">
        <f t="shared" si="95"/>
        <v>426439.94222541258</v>
      </c>
      <c r="O74" s="6">
        <f t="shared" si="95"/>
        <v>416528.37839200185</v>
      </c>
      <c r="P74" s="6">
        <f t="shared" ref="P74" si="96">P72-P73</f>
        <v>406758.48379871499</v>
      </c>
    </row>
    <row r="75" spans="1:16" hidden="1" x14ac:dyDescent="0.35">
      <c r="A75" s="7" t="s">
        <v>14</v>
      </c>
      <c r="B75" s="6" t="e">
        <f>#REF!+#REF!</f>
        <v>#REF!</v>
      </c>
      <c r="C75" s="6" t="e">
        <f>#REF!+#REF!</f>
        <v>#REF!</v>
      </c>
      <c r="D75" s="6" t="e">
        <f>#REF!+#REF!</f>
        <v>#REF!</v>
      </c>
      <c r="E75" s="6" t="e">
        <f>#REF!+#REF!</f>
        <v>#REF!</v>
      </c>
      <c r="F75" s="6" t="e">
        <f>#REF!+#REF!</f>
        <v>#REF!</v>
      </c>
      <c r="G75" s="6" t="e">
        <f>#REF!+#REF!</f>
        <v>#REF!</v>
      </c>
      <c r="H75" s="6" t="e">
        <f>#REF!+#REF!</f>
        <v>#REF!</v>
      </c>
      <c r="I75" s="6" t="e">
        <f>#REF!+#REF!</f>
        <v>#REF!</v>
      </c>
      <c r="J75" s="6" t="e">
        <f>#REF!+#REF!</f>
        <v>#REF!</v>
      </c>
      <c r="K75" s="6" t="e">
        <f>#REF!+#REF!</f>
        <v>#REF!</v>
      </c>
      <c r="L75" s="6" t="e">
        <f>#REF!+#REF!</f>
        <v>#REF!</v>
      </c>
      <c r="M75" s="6" t="e">
        <f>#REF!+#REF!</f>
        <v>#REF!</v>
      </c>
      <c r="N75" s="6" t="e">
        <f>#REF!+#REF!</f>
        <v>#REF!</v>
      </c>
      <c r="O75" s="6" t="e">
        <f>#REF!+#REF!</f>
        <v>#REF!</v>
      </c>
      <c r="P75" s="6" t="e">
        <f>#REF!+#REF!</f>
        <v>#REF!</v>
      </c>
    </row>
    <row r="76" spans="1:16" ht="15" hidden="1" customHeight="1" x14ac:dyDescent="0.35">
      <c r="A76" s="8" t="s">
        <v>17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1:16" hidden="1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6" hidden="1" x14ac:dyDescent="0.35">
      <c r="A78" s="5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5"/>
      <c r="N78" s="5"/>
      <c r="O78" s="5"/>
      <c r="P78" s="5"/>
    </row>
    <row r="79" spans="1:16" x14ac:dyDescent="0.35">
      <c r="A79" s="8" t="s">
        <v>23</v>
      </c>
      <c r="B79" s="13">
        <v>2023</v>
      </c>
      <c r="C79" s="13">
        <v>2024</v>
      </c>
      <c r="D79" s="13">
        <f t="shared" ref="D79" si="97">C79+1</f>
        <v>2025</v>
      </c>
      <c r="E79" s="13">
        <f t="shared" ref="E79" si="98">D79+1</f>
        <v>2026</v>
      </c>
      <c r="F79" s="13">
        <f t="shared" ref="F79" si="99">E79+1</f>
        <v>2027</v>
      </c>
      <c r="G79" s="13">
        <f t="shared" ref="G79" si="100">F79+1</f>
        <v>2028</v>
      </c>
      <c r="H79" s="13">
        <f t="shared" ref="H79" si="101">G79+1</f>
        <v>2029</v>
      </c>
      <c r="I79" s="13">
        <f t="shared" ref="I79" si="102">H79+1</f>
        <v>2030</v>
      </c>
      <c r="J79" s="13">
        <f t="shared" ref="J79" si="103">I79+1</f>
        <v>2031</v>
      </c>
      <c r="K79" s="13">
        <f t="shared" ref="K79" si="104">J79+1</f>
        <v>2032</v>
      </c>
      <c r="L79" s="13">
        <f t="shared" ref="L79" si="105">K79+1</f>
        <v>2033</v>
      </c>
      <c r="M79" s="13">
        <f t="shared" ref="M79" si="106">L79+1</f>
        <v>2034</v>
      </c>
      <c r="N79" s="13">
        <f t="shared" ref="N79" si="107">M79+1</f>
        <v>2035</v>
      </c>
      <c r="O79" s="13">
        <f t="shared" ref="O79:P79" si="108">N79+1</f>
        <v>2036</v>
      </c>
      <c r="P79" s="13">
        <f t="shared" si="108"/>
        <v>2037</v>
      </c>
    </row>
    <row r="80" spans="1:16" x14ac:dyDescent="0.35">
      <c r="A80" s="7" t="s">
        <v>11</v>
      </c>
      <c r="B80" s="6">
        <f t="shared" ref="B80:O80" si="109">B61</f>
        <v>245995.83000000002</v>
      </c>
      <c r="C80" s="6">
        <f t="shared" si="109"/>
        <v>203160.66999999995</v>
      </c>
      <c r="D80" s="6">
        <f t="shared" si="109"/>
        <v>179624.05470143596</v>
      </c>
      <c r="E80" s="6">
        <f t="shared" si="109"/>
        <v>370213.75250974571</v>
      </c>
      <c r="F80" s="6">
        <f t="shared" si="109"/>
        <v>401042.91825110331</v>
      </c>
      <c r="G80" s="6">
        <f t="shared" si="109"/>
        <v>448349.48590074602</v>
      </c>
      <c r="H80" s="6">
        <f t="shared" si="109"/>
        <v>481209.28337896807</v>
      </c>
      <c r="I80" s="6">
        <f t="shared" si="109"/>
        <v>557004.23724477657</v>
      </c>
      <c r="J80" s="6">
        <f t="shared" si="109"/>
        <v>588007.91130251507</v>
      </c>
      <c r="K80" s="6">
        <f t="shared" si="109"/>
        <v>607146.11364554241</v>
      </c>
      <c r="L80" s="6">
        <f t="shared" si="109"/>
        <v>633357.91013896512</v>
      </c>
      <c r="M80" s="6">
        <f t="shared" si="109"/>
        <v>637064.48875548225</v>
      </c>
      <c r="N80" s="6">
        <f t="shared" si="109"/>
        <v>631177.00853469467</v>
      </c>
      <c r="O80" s="6">
        <f t="shared" si="109"/>
        <v>625530.45418722369</v>
      </c>
      <c r="P80" s="6">
        <f t="shared" ref="P80" si="110">P61</f>
        <v>620116.66004477313</v>
      </c>
    </row>
    <row r="81" spans="1:16" x14ac:dyDescent="0.35">
      <c r="A81" s="7" t="s">
        <v>18</v>
      </c>
      <c r="B81" s="6">
        <f t="shared" ref="B81:P81" si="111">B25</f>
        <v>179900</v>
      </c>
      <c r="C81" s="6">
        <f t="shared" si="111"/>
        <v>173949</v>
      </c>
      <c r="D81" s="6">
        <f t="shared" si="111"/>
        <v>159848.91390915209</v>
      </c>
      <c r="E81" s="6">
        <f t="shared" si="111"/>
        <v>165590.79354540305</v>
      </c>
      <c r="F81" s="6">
        <f t="shared" si="111"/>
        <v>169919.47414258568</v>
      </c>
      <c r="G81" s="6">
        <f t="shared" si="111"/>
        <v>174316.69762195594</v>
      </c>
      <c r="H81" s="6">
        <f t="shared" si="111"/>
        <v>179806.06338369736</v>
      </c>
      <c r="I81" s="6">
        <f t="shared" si="111"/>
        <v>184062.67972838203</v>
      </c>
      <c r="J81" s="6">
        <f t="shared" si="111"/>
        <v>188345.87508927705</v>
      </c>
      <c r="K81" s="6">
        <f t="shared" si="111"/>
        <v>192235.59888735338</v>
      </c>
      <c r="L81" s="6">
        <f t="shared" si="111"/>
        <v>196303.05743488178</v>
      </c>
      <c r="M81" s="6">
        <f t="shared" si="111"/>
        <v>200570.36608330108</v>
      </c>
      <c r="N81" s="6">
        <f t="shared" si="111"/>
        <v>204737.06630928209</v>
      </c>
      <c r="O81" s="6">
        <f t="shared" si="111"/>
        <v>209002.07579522181</v>
      </c>
      <c r="P81" s="6">
        <f t="shared" si="111"/>
        <v>213358.17624605814</v>
      </c>
    </row>
    <row r="82" spans="1:16" x14ac:dyDescent="0.35">
      <c r="A82" s="7" t="s">
        <v>21</v>
      </c>
      <c r="B82" s="6">
        <f t="shared" ref="B82:P82" si="112">B27</f>
        <v>74873</v>
      </c>
      <c r="C82" s="6">
        <f t="shared" si="112"/>
        <v>75741</v>
      </c>
      <c r="D82" s="6">
        <f t="shared" si="112"/>
        <v>77190.28839999999</v>
      </c>
      <c r="E82" s="6">
        <f t="shared" si="112"/>
        <v>81543.75039999999</v>
      </c>
      <c r="F82" s="6">
        <f t="shared" si="112"/>
        <v>82399.884271999996</v>
      </c>
      <c r="G82" s="6">
        <f t="shared" si="112"/>
        <v>95741.577822591993</v>
      </c>
      <c r="H82" s="6">
        <f t="shared" si="112"/>
        <v>111141.08413926502</v>
      </c>
      <c r="I82" s="6">
        <f t="shared" si="112"/>
        <v>119323.1809870174</v>
      </c>
      <c r="J82" s="6">
        <f t="shared" si="112"/>
        <v>149958.43623967236</v>
      </c>
      <c r="K82" s="6">
        <f t="shared" si="112"/>
        <v>152259.94197041803</v>
      </c>
      <c r="L82" s="6">
        <f t="shared" si="112"/>
        <v>161874.16036170837</v>
      </c>
      <c r="M82" s="6">
        <f t="shared" si="112"/>
        <v>171516.4692927631</v>
      </c>
      <c r="N82" s="6">
        <f t="shared" si="112"/>
        <v>171516.4692927631</v>
      </c>
      <c r="O82" s="6">
        <f t="shared" si="112"/>
        <v>171516.4692927631</v>
      </c>
      <c r="P82" s="6">
        <f t="shared" si="112"/>
        <v>171516.4692927631</v>
      </c>
    </row>
    <row r="83" spans="1:16" x14ac:dyDescent="0.35">
      <c r="A83" s="27" t="s">
        <v>22</v>
      </c>
      <c r="B83" s="34">
        <f t="shared" ref="B83" si="113">B80-B81</f>
        <v>66095.830000000016</v>
      </c>
      <c r="C83" s="34">
        <f t="shared" ref="C83:O83" si="114">C80-C81</f>
        <v>29211.669999999955</v>
      </c>
      <c r="D83" s="34">
        <f t="shared" si="114"/>
        <v>19775.14079228387</v>
      </c>
      <c r="E83" s="34">
        <f t="shared" si="114"/>
        <v>204622.95896434266</v>
      </c>
      <c r="F83" s="34">
        <f t="shared" si="114"/>
        <v>231123.44410851764</v>
      </c>
      <c r="G83" s="34">
        <f t="shared" si="114"/>
        <v>274032.78827879007</v>
      </c>
      <c r="H83" s="34">
        <f t="shared" si="114"/>
        <v>301403.21999527072</v>
      </c>
      <c r="I83" s="34">
        <f t="shared" si="114"/>
        <v>372941.55751639453</v>
      </c>
      <c r="J83" s="34">
        <f t="shared" si="114"/>
        <v>399662.03621323803</v>
      </c>
      <c r="K83" s="34">
        <f t="shared" si="114"/>
        <v>414910.51475818903</v>
      </c>
      <c r="L83" s="34">
        <f t="shared" si="114"/>
        <v>437054.85270408331</v>
      </c>
      <c r="M83" s="34">
        <f t="shared" si="114"/>
        <v>436494.12267218117</v>
      </c>
      <c r="N83" s="34">
        <f t="shared" si="114"/>
        <v>426439.94222541258</v>
      </c>
      <c r="O83" s="34">
        <f t="shared" si="114"/>
        <v>416528.37839200185</v>
      </c>
      <c r="P83" s="34">
        <f t="shared" ref="P83" si="115">P80-P81</f>
        <v>406758.48379871499</v>
      </c>
    </row>
    <row r="84" spans="1:16" x14ac:dyDescent="0.35">
      <c r="A84" s="27" t="s">
        <v>26</v>
      </c>
      <c r="B84" s="34">
        <f t="shared" ref="B84" si="116">B80-(B81+B82)</f>
        <v>-8777.1699999999837</v>
      </c>
      <c r="C84" s="34">
        <f t="shared" ref="C84:O84" si="117">C80-(C81+C82)</f>
        <v>-46529.330000000045</v>
      </c>
      <c r="D84" s="34">
        <f t="shared" si="117"/>
        <v>-57415.147607716121</v>
      </c>
      <c r="E84" s="34">
        <f t="shared" si="117"/>
        <v>123079.20856434267</v>
      </c>
      <c r="F84" s="34">
        <f t="shared" si="117"/>
        <v>148723.55983651764</v>
      </c>
      <c r="G84" s="34">
        <f t="shared" si="117"/>
        <v>178291.21045619808</v>
      </c>
      <c r="H84" s="34">
        <f t="shared" si="117"/>
        <v>190262.13585600571</v>
      </c>
      <c r="I84" s="34">
        <f t="shared" si="117"/>
        <v>253618.37652937713</v>
      </c>
      <c r="J84" s="34">
        <f t="shared" si="117"/>
        <v>249703.59997356567</v>
      </c>
      <c r="K84" s="34">
        <f t="shared" si="117"/>
        <v>262650.572787771</v>
      </c>
      <c r="L84" s="34">
        <f t="shared" si="117"/>
        <v>275180.69234237494</v>
      </c>
      <c r="M84" s="34">
        <f t="shared" si="117"/>
        <v>264977.65337941807</v>
      </c>
      <c r="N84" s="34">
        <f t="shared" si="117"/>
        <v>254923.47293264949</v>
      </c>
      <c r="O84" s="34">
        <f t="shared" si="117"/>
        <v>245011.90909923881</v>
      </c>
      <c r="P84" s="34">
        <f t="shared" ref="P84" si="118">P80-(P81+P82)</f>
        <v>235242.0145059519</v>
      </c>
    </row>
    <row r="85" spans="1:16" x14ac:dyDescent="0.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1:16" x14ac:dyDescent="0.35">
      <c r="A86" s="8" t="s">
        <v>63</v>
      </c>
      <c r="B86" s="7"/>
      <c r="C86" s="7"/>
      <c r="D86" s="13"/>
      <c r="E86" s="13">
        <v>2026</v>
      </c>
      <c r="F86" s="13">
        <f t="shared" ref="F86" si="119">E86+1</f>
        <v>2027</v>
      </c>
      <c r="G86" s="13">
        <f t="shared" ref="G86" si="120">F86+1</f>
        <v>2028</v>
      </c>
      <c r="H86" s="13">
        <f t="shared" ref="H86" si="121">G86+1</f>
        <v>2029</v>
      </c>
      <c r="I86" s="13">
        <f t="shared" ref="I86" si="122">H86+1</f>
        <v>2030</v>
      </c>
      <c r="J86" s="13">
        <f t="shared" ref="J86" si="123">I86+1</f>
        <v>2031</v>
      </c>
      <c r="K86" s="13">
        <f t="shared" ref="K86" si="124">J86+1</f>
        <v>2032</v>
      </c>
      <c r="L86" s="13">
        <f t="shared" ref="L86" si="125">K86+1</f>
        <v>2033</v>
      </c>
      <c r="M86" s="13">
        <f t="shared" ref="M86" si="126">L86+1</f>
        <v>2034</v>
      </c>
      <c r="N86" s="13">
        <f t="shared" ref="N86" si="127">M86+1</f>
        <v>2035</v>
      </c>
      <c r="O86" s="13">
        <f t="shared" ref="O86:P86" si="128">N86+1</f>
        <v>2036</v>
      </c>
      <c r="P86" s="13">
        <f t="shared" si="128"/>
        <v>2037</v>
      </c>
    </row>
    <row r="87" spans="1:16" x14ac:dyDescent="0.35">
      <c r="A87" s="7" t="s">
        <v>34</v>
      </c>
      <c r="B87" s="7"/>
      <c r="C87" s="7"/>
      <c r="D87" s="13"/>
      <c r="E87" s="6">
        <f t="shared" ref="E87:O87" si="129">E61</f>
        <v>370213.75250974571</v>
      </c>
      <c r="F87" s="6">
        <f t="shared" si="129"/>
        <v>401042.91825110331</v>
      </c>
      <c r="G87" s="6">
        <f t="shared" si="129"/>
        <v>448349.48590074602</v>
      </c>
      <c r="H87" s="6">
        <f t="shared" si="129"/>
        <v>481209.28337896807</v>
      </c>
      <c r="I87" s="6">
        <f t="shared" si="129"/>
        <v>557004.23724477657</v>
      </c>
      <c r="J87" s="6">
        <f t="shared" si="129"/>
        <v>588007.91130251507</v>
      </c>
      <c r="K87" s="6">
        <f t="shared" si="129"/>
        <v>607146.11364554241</v>
      </c>
      <c r="L87" s="6">
        <f t="shared" si="129"/>
        <v>633357.91013896512</v>
      </c>
      <c r="M87" s="6">
        <f t="shared" si="129"/>
        <v>637064.48875548225</v>
      </c>
      <c r="N87" s="6">
        <f t="shared" si="129"/>
        <v>631177.00853469467</v>
      </c>
      <c r="O87" s="6">
        <f t="shared" si="129"/>
        <v>625530.45418722369</v>
      </c>
      <c r="P87" s="6">
        <f t="shared" ref="P87" si="130">P61</f>
        <v>620116.66004477313</v>
      </c>
    </row>
    <row r="88" spans="1:16" ht="14.4" customHeight="1" x14ac:dyDescent="0.35">
      <c r="A88" s="7" t="s">
        <v>47</v>
      </c>
      <c r="B88" s="7"/>
      <c r="C88" s="7"/>
      <c r="D88" s="13"/>
      <c r="E88" s="35">
        <v>23606.6325</v>
      </c>
      <c r="F88" s="35">
        <v>319127.57951999991</v>
      </c>
      <c r="G88" s="35">
        <v>319618.7403494399</v>
      </c>
      <c r="H88" s="35">
        <v>113109.28808140798</v>
      </c>
      <c r="I88" s="35">
        <v>724722.11174599989</v>
      </c>
      <c r="J88" s="35">
        <v>0</v>
      </c>
      <c r="K88" s="35">
        <v>152597.93358337326</v>
      </c>
      <c r="L88" s="35">
        <v>145872.48890775917</v>
      </c>
      <c r="M88" s="35">
        <v>0</v>
      </c>
      <c r="N88" s="35">
        <v>0</v>
      </c>
      <c r="O88" s="35">
        <v>0</v>
      </c>
      <c r="P88" s="35">
        <v>0</v>
      </c>
    </row>
    <row r="89" spans="1:16" ht="14.4" customHeight="1" x14ac:dyDescent="0.35">
      <c r="A89" s="7" t="s">
        <v>65</v>
      </c>
      <c r="B89" s="7"/>
      <c r="C89" s="7"/>
      <c r="D89" s="13"/>
      <c r="E89" s="35">
        <v>0</v>
      </c>
      <c r="F89" s="35">
        <v>65000</v>
      </c>
      <c r="G89" s="35">
        <v>140000</v>
      </c>
      <c r="H89" s="35">
        <v>150000</v>
      </c>
      <c r="I89" s="35">
        <v>160000</v>
      </c>
      <c r="J89" s="35">
        <v>160000</v>
      </c>
      <c r="K89" s="35">
        <v>150000</v>
      </c>
      <c r="L89" s="35">
        <v>160000</v>
      </c>
      <c r="M89" s="35">
        <v>0</v>
      </c>
      <c r="N89" s="35">
        <v>0</v>
      </c>
      <c r="O89" s="35">
        <v>0</v>
      </c>
      <c r="P89" s="35">
        <v>0</v>
      </c>
    </row>
    <row r="90" spans="1:16" x14ac:dyDescent="0.35">
      <c r="A90" s="7" t="s">
        <v>35</v>
      </c>
      <c r="B90" s="7"/>
      <c r="C90" s="7"/>
      <c r="D90" s="13"/>
      <c r="E90" s="6">
        <f t="shared" ref="E90:P90" si="131">E25</f>
        <v>165590.79354540305</v>
      </c>
      <c r="F90" s="6">
        <f t="shared" si="131"/>
        <v>169919.47414258568</v>
      </c>
      <c r="G90" s="6">
        <f t="shared" si="131"/>
        <v>174316.69762195594</v>
      </c>
      <c r="H90" s="6">
        <f t="shared" si="131"/>
        <v>179806.06338369736</v>
      </c>
      <c r="I90" s="6">
        <f t="shared" si="131"/>
        <v>184062.67972838203</v>
      </c>
      <c r="J90" s="6">
        <f t="shared" si="131"/>
        <v>188345.87508927705</v>
      </c>
      <c r="K90" s="6">
        <f t="shared" si="131"/>
        <v>192235.59888735338</v>
      </c>
      <c r="L90" s="6">
        <f t="shared" si="131"/>
        <v>196303.05743488178</v>
      </c>
      <c r="M90" s="6">
        <f t="shared" si="131"/>
        <v>200570.36608330108</v>
      </c>
      <c r="N90" s="6">
        <f t="shared" si="131"/>
        <v>204737.06630928209</v>
      </c>
      <c r="O90" s="6">
        <f t="shared" si="131"/>
        <v>209002.07579522181</v>
      </c>
      <c r="P90" s="6">
        <f t="shared" si="131"/>
        <v>213358.17624605814</v>
      </c>
    </row>
    <row r="91" spans="1:16" x14ac:dyDescent="0.35">
      <c r="A91" s="7" t="s">
        <v>36</v>
      </c>
      <c r="B91" s="7"/>
      <c r="C91" s="7"/>
      <c r="D91" s="13"/>
      <c r="E91" s="6">
        <v>31475.51</v>
      </c>
      <c r="F91" s="6">
        <v>490503.4393599999</v>
      </c>
      <c r="G91" s="6">
        <v>566158.32046591991</v>
      </c>
      <c r="H91" s="6">
        <v>300812.38410854398</v>
      </c>
      <c r="I91" s="6">
        <v>1126296.1489946665</v>
      </c>
      <c r="J91" s="6">
        <v>84614.181277414449</v>
      </c>
      <c r="K91" s="6">
        <v>353463.9114444977</v>
      </c>
      <c r="L91" s="6">
        <v>354496.65187701222</v>
      </c>
      <c r="M91" s="6">
        <v>0</v>
      </c>
      <c r="N91" s="6">
        <v>0</v>
      </c>
      <c r="O91" s="6">
        <v>0</v>
      </c>
      <c r="P91" s="6">
        <v>0</v>
      </c>
    </row>
    <row r="92" spans="1:16" x14ac:dyDescent="0.35">
      <c r="A92" s="7" t="s">
        <v>37</v>
      </c>
      <c r="B92" s="7"/>
      <c r="C92" s="7"/>
      <c r="D92" s="13"/>
      <c r="E92" s="6">
        <f t="shared" ref="E92:P92" si="132">E67+E68</f>
        <v>3392.2730902499998</v>
      </c>
      <c r="F92" s="6">
        <f t="shared" si="132"/>
        <v>50355.000559949985</v>
      </c>
      <c r="G92" s="6">
        <f t="shared" si="132"/>
        <v>95794.536354392389</v>
      </c>
      <c r="H92" s="6">
        <f t="shared" si="132"/>
        <v>109175.83423755286</v>
      </c>
      <c r="I92" s="6">
        <f t="shared" si="132"/>
        <v>212204.47717083362</v>
      </c>
      <c r="J92" s="6">
        <f t="shared" si="132"/>
        <v>204712.99806284939</v>
      </c>
      <c r="K92" s="6">
        <f t="shared" si="132"/>
        <v>219729.71415841271</v>
      </c>
      <c r="L92" s="6">
        <f t="shared" si="132"/>
        <v>232991.43749640611</v>
      </c>
      <c r="M92" s="6">
        <f t="shared" si="132"/>
        <v>224007.60627596619</v>
      </c>
      <c r="N92" s="6">
        <f t="shared" si="132"/>
        <v>215023.77505552629</v>
      </c>
      <c r="O92" s="6">
        <f t="shared" si="132"/>
        <v>203733.57583983635</v>
      </c>
      <c r="P92" s="6">
        <f t="shared" si="132"/>
        <v>163743.39612569645</v>
      </c>
    </row>
    <row r="93" spans="1:16" x14ac:dyDescent="0.35">
      <c r="A93" s="27" t="s">
        <v>60</v>
      </c>
      <c r="B93" s="27"/>
      <c r="C93" s="27"/>
      <c r="D93" s="13"/>
      <c r="E93" s="34">
        <f>E87+E88+E89-E90-E91-E92</f>
        <v>193361.80837409265</v>
      </c>
      <c r="F93" s="34">
        <f t="shared" ref="F93:P93" si="133">F87+F88+F89-F90-F91-F92</f>
        <v>74392.583708567632</v>
      </c>
      <c r="G93" s="34">
        <f t="shared" si="133"/>
        <v>71698.671807917563</v>
      </c>
      <c r="H93" s="34">
        <f t="shared" si="133"/>
        <v>154524.28973058189</v>
      </c>
      <c r="I93" s="34">
        <f t="shared" si="133"/>
        <v>-80836.956903105602</v>
      </c>
      <c r="J93" s="34">
        <f t="shared" si="133"/>
        <v>270334.8568729742</v>
      </c>
      <c r="K93" s="34">
        <f t="shared" si="133"/>
        <v>144314.82273865177</v>
      </c>
      <c r="L93" s="34">
        <f t="shared" si="133"/>
        <v>155439.25223842417</v>
      </c>
      <c r="M93" s="34">
        <f t="shared" si="133"/>
        <v>212486.51639621498</v>
      </c>
      <c r="N93" s="34">
        <f t="shared" si="133"/>
        <v>211416.16716988629</v>
      </c>
      <c r="O93" s="34">
        <f t="shared" si="133"/>
        <v>212794.80255216549</v>
      </c>
      <c r="P93" s="34">
        <f t="shared" si="133"/>
        <v>243015.08767301854</v>
      </c>
    </row>
    <row r="94" spans="1:16" x14ac:dyDescent="0.35">
      <c r="A94" s="27" t="s">
        <v>64</v>
      </c>
      <c r="B94" s="27"/>
      <c r="C94" s="27"/>
      <c r="D94" s="13"/>
      <c r="E94" s="34">
        <f t="shared" ref="E94:P94" si="134">D94+E93</f>
        <v>193361.80837409265</v>
      </c>
      <c r="F94" s="34">
        <f t="shared" si="134"/>
        <v>267754.39208266028</v>
      </c>
      <c r="G94" s="34">
        <f t="shared" si="134"/>
        <v>339453.06389057788</v>
      </c>
      <c r="H94" s="34">
        <f t="shared" si="134"/>
        <v>493977.3536211598</v>
      </c>
      <c r="I94" s="34">
        <f t="shared" si="134"/>
        <v>413140.39671805419</v>
      </c>
      <c r="J94" s="34">
        <f t="shared" si="134"/>
        <v>683475.25359102839</v>
      </c>
      <c r="K94" s="34">
        <f t="shared" si="134"/>
        <v>827790.07632968016</v>
      </c>
      <c r="L94" s="34">
        <f t="shared" si="134"/>
        <v>983229.32856810431</v>
      </c>
      <c r="M94" s="34">
        <f t="shared" si="134"/>
        <v>1195715.8449643194</v>
      </c>
      <c r="N94" s="34">
        <f t="shared" si="134"/>
        <v>1407132.0121342055</v>
      </c>
      <c r="O94" s="34">
        <f t="shared" si="134"/>
        <v>1619926.814686371</v>
      </c>
      <c r="P94" s="34">
        <f t="shared" si="134"/>
        <v>1862941.9023593895</v>
      </c>
    </row>
    <row r="95" spans="1:16" x14ac:dyDescent="0.35">
      <c r="B95" s="5"/>
      <c r="C95" s="5"/>
    </row>
    <row r="96" spans="1:16" x14ac:dyDescent="0.35">
      <c r="B96" s="5"/>
      <c r="C96" s="5"/>
    </row>
    <row r="97" spans="2:3" x14ac:dyDescent="0.35">
      <c r="B97" s="5"/>
      <c r="C97" s="5"/>
    </row>
    <row r="98" spans="2:3" x14ac:dyDescent="0.35">
      <c r="B98" s="5"/>
      <c r="C98" s="5"/>
    </row>
    <row r="99" spans="2:3" x14ac:dyDescent="0.35">
      <c r="B99" s="5"/>
      <c r="C99" s="5"/>
    </row>
    <row r="100" spans="2:3" x14ac:dyDescent="0.35">
      <c r="B100" s="5"/>
      <c r="C100" s="5"/>
    </row>
    <row r="101" spans="2:3" x14ac:dyDescent="0.35">
      <c r="B101" s="5"/>
      <c r="C101" s="5"/>
    </row>
    <row r="102" spans="2:3" x14ac:dyDescent="0.35">
      <c r="B102" s="5"/>
      <c r="C102" s="5"/>
    </row>
    <row r="103" spans="2:3" x14ac:dyDescent="0.35">
      <c r="B103" s="5"/>
      <c r="C103" s="5"/>
    </row>
    <row r="104" spans="2:3" x14ac:dyDescent="0.35">
      <c r="B104" s="5"/>
      <c r="C104" s="5"/>
    </row>
    <row r="105" spans="2:3" x14ac:dyDescent="0.35">
      <c r="B105" s="5"/>
      <c r="C105" s="5"/>
    </row>
    <row r="106" spans="2:3" x14ac:dyDescent="0.35">
      <c r="B106" s="5"/>
      <c r="C106" s="5"/>
    </row>
    <row r="107" spans="2:3" x14ac:dyDescent="0.35">
      <c r="B107" s="5"/>
      <c r="C107" s="5"/>
    </row>
    <row r="108" spans="2:3" x14ac:dyDescent="0.35">
      <c r="B108" s="5"/>
      <c r="C108" s="5"/>
    </row>
    <row r="109" spans="2:3" x14ac:dyDescent="0.35">
      <c r="B109" s="5"/>
      <c r="C109" s="5"/>
    </row>
    <row r="110" spans="2:3" x14ac:dyDescent="0.35">
      <c r="B110" s="5"/>
      <c r="C110" s="5"/>
    </row>
    <row r="111" spans="2:3" x14ac:dyDescent="0.35">
      <c r="B111" s="5"/>
      <c r="C111" s="5"/>
    </row>
    <row r="112" spans="2:3" x14ac:dyDescent="0.35">
      <c r="B112" s="5"/>
      <c r="C112" s="5"/>
    </row>
    <row r="113" spans="2:3" x14ac:dyDescent="0.35">
      <c r="B113" s="5"/>
      <c r="C113" s="5"/>
    </row>
    <row r="114" spans="2:3" x14ac:dyDescent="0.35">
      <c r="B114" s="5"/>
      <c r="C114" s="5"/>
    </row>
    <row r="115" spans="2:3" x14ac:dyDescent="0.35">
      <c r="B115" s="5"/>
      <c r="C115" s="5"/>
    </row>
    <row r="116" spans="2:3" x14ac:dyDescent="0.35">
      <c r="B116" s="5"/>
      <c r="C116" s="5"/>
    </row>
    <row r="117" spans="2:3" x14ac:dyDescent="0.35">
      <c r="B117" s="5"/>
      <c r="C117" s="5"/>
    </row>
    <row r="118" spans="2:3" x14ac:dyDescent="0.35">
      <c r="B118" s="5"/>
      <c r="C118" s="5"/>
    </row>
    <row r="119" spans="2:3" x14ac:dyDescent="0.35">
      <c r="B119" s="5"/>
      <c r="C119" s="5"/>
    </row>
    <row r="120" spans="2:3" x14ac:dyDescent="0.35">
      <c r="B120" s="5"/>
      <c r="C120" s="5"/>
    </row>
    <row r="121" spans="2:3" x14ac:dyDescent="0.35">
      <c r="B121" s="5"/>
      <c r="C121" s="5"/>
    </row>
    <row r="122" spans="2:3" x14ac:dyDescent="0.35">
      <c r="B122" s="5"/>
      <c r="C122" s="5"/>
    </row>
  </sheetData>
  <pageMargins left="0.7" right="0.7" top="0.75" bottom="0.75" header="0.3" footer="0.3"/>
  <pageSetup paperSize="9" orientation="portrait" r:id="rId1"/>
  <ignoredErrors>
    <ignoredError sqref="H21 D38:O38 D57 D44:D45" formula="1"/>
    <ignoredError sqref="C84:O84 B7 E7:O7" evalError="1"/>
    <ignoredError sqref="B3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Paide Vesi Järva vald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2026-02-09T12:12:53Z</dcterms:modified>
</cp:coreProperties>
</file>